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农村低保" sheetId="1" r:id="rId1"/>
  </sheets>
  <externalReferences>
    <externalReference r:id="rId2"/>
    <externalReference r:id="rId3"/>
  </externalReferences>
  <definedNames>
    <definedName name="_xlnm._FilterDatabase" localSheetId="0" hidden="1">农村低保!$B$3:$P$906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<sst xmlns="http://schemas.openxmlformats.org/spreadsheetml/2006/main" count="5810" uniqueCount="1425">
  <si>
    <t>石板街道2024年1月农村低保直发打卡明细表</t>
  </si>
  <si>
    <t>序号</t>
  </si>
  <si>
    <t>姓名</t>
  </si>
  <si>
    <t>身份证号</t>
  </si>
  <si>
    <t>性
别</t>
  </si>
  <si>
    <t>年
龄</t>
  </si>
  <si>
    <t>与户主关系</t>
  </si>
  <si>
    <t>月保
障金</t>
  </si>
  <si>
    <t>乡镇</t>
  </si>
  <si>
    <t>村级调整后</t>
  </si>
  <si>
    <t>户籍
地址</t>
  </si>
  <si>
    <t>残疾情况</t>
  </si>
  <si>
    <t>是否优抚</t>
  </si>
  <si>
    <t>是否建档</t>
  </si>
  <si>
    <t>补发时间/困难原因</t>
  </si>
  <si>
    <t>备注（享受人数）</t>
  </si>
  <si>
    <t>合计</t>
  </si>
  <si>
    <t>袁仕琼</t>
  </si>
  <si>
    <t>513021195011220867</t>
  </si>
  <si>
    <t>女</t>
  </si>
  <si>
    <t>本人</t>
  </si>
  <si>
    <t>石板</t>
  </si>
  <si>
    <t>三牌社区村委会</t>
  </si>
  <si>
    <t>2022年12月新增</t>
  </si>
  <si>
    <t>李碧厚</t>
  </si>
  <si>
    <t>513021195209170869</t>
  </si>
  <si>
    <t>潘光秀</t>
  </si>
  <si>
    <t>513021195403120865</t>
  </si>
  <si>
    <t>2023年5月新增</t>
  </si>
  <si>
    <t>何志中</t>
  </si>
  <si>
    <t>513021195610140877</t>
  </si>
  <si>
    <t>男</t>
  </si>
  <si>
    <t>周信珍</t>
  </si>
  <si>
    <t>513021195210040869</t>
  </si>
  <si>
    <t>是</t>
  </si>
  <si>
    <t>李德华</t>
  </si>
  <si>
    <t>513021195302020910</t>
  </si>
  <si>
    <t>配偶</t>
  </si>
  <si>
    <t>罗朝炜</t>
  </si>
  <si>
    <t>511721200407264671</t>
  </si>
  <si>
    <t>潘传兵</t>
  </si>
  <si>
    <t>513021195104210879</t>
  </si>
  <si>
    <t>王学连</t>
  </si>
  <si>
    <t>513021195111110884</t>
  </si>
  <si>
    <t>黎国良</t>
  </si>
  <si>
    <t>511721200811094678</t>
  </si>
  <si>
    <t>宋祖杰</t>
  </si>
  <si>
    <t>513021195202130864</t>
  </si>
  <si>
    <t>张萍萍</t>
  </si>
  <si>
    <t>51172120061026006X</t>
  </si>
  <si>
    <t>孙女</t>
  </si>
  <si>
    <t>张露</t>
  </si>
  <si>
    <t>511721199505304707</t>
  </si>
  <si>
    <t>谢成杰</t>
  </si>
  <si>
    <t>511721200207184685</t>
  </si>
  <si>
    <t>李元珍</t>
  </si>
  <si>
    <t>513021193509200864</t>
  </si>
  <si>
    <t>熊光琼</t>
  </si>
  <si>
    <t>513021194505090869</t>
  </si>
  <si>
    <t>唐国忠</t>
  </si>
  <si>
    <t>513021195102250893</t>
  </si>
  <si>
    <t>李大贵</t>
  </si>
  <si>
    <t>513021196802020874</t>
  </si>
  <si>
    <t>范兴碧</t>
  </si>
  <si>
    <t>513021195702070888</t>
  </si>
  <si>
    <t>李正厚</t>
  </si>
  <si>
    <t>513021195407110875</t>
  </si>
  <si>
    <t>潘明兰</t>
  </si>
  <si>
    <t>513021197211200886</t>
  </si>
  <si>
    <t>张兆杰</t>
  </si>
  <si>
    <t>513021196302240862</t>
  </si>
  <si>
    <t>赵丹</t>
  </si>
  <si>
    <t>513021198808180907</t>
  </si>
  <si>
    <t>2023年11月新增</t>
  </si>
  <si>
    <t>郑仕琼</t>
  </si>
  <si>
    <t>513021195009290866</t>
  </si>
  <si>
    <t>何才龙</t>
  </si>
  <si>
    <t>513021195512080874</t>
  </si>
  <si>
    <t>李纯全</t>
  </si>
  <si>
    <t>513021196306070872</t>
  </si>
  <si>
    <t>胡应贵</t>
  </si>
  <si>
    <t>513021194708030866</t>
  </si>
  <si>
    <t>谭坤贵</t>
  </si>
  <si>
    <t>513021194508190873</t>
  </si>
  <si>
    <t>邓先平</t>
  </si>
  <si>
    <t>513021196911070870</t>
  </si>
  <si>
    <t>谭登辉</t>
  </si>
  <si>
    <t>513021196809090867</t>
  </si>
  <si>
    <t>李德兰</t>
  </si>
  <si>
    <t>513021194504030864</t>
  </si>
  <si>
    <t>潘虎</t>
  </si>
  <si>
    <t>513021197002130877</t>
  </si>
  <si>
    <t>何少碧</t>
  </si>
  <si>
    <t>513021193801130904</t>
  </si>
  <si>
    <t>李德秀</t>
  </si>
  <si>
    <t>513021195503100861</t>
  </si>
  <si>
    <t>柏子龙</t>
  </si>
  <si>
    <t>513021195208160917</t>
  </si>
  <si>
    <t>潘学珍</t>
  </si>
  <si>
    <t>513021194501270889</t>
  </si>
  <si>
    <t>吴学富</t>
  </si>
  <si>
    <t>513021193910250913</t>
  </si>
  <si>
    <t>张兆兴</t>
  </si>
  <si>
    <t>513021194911120875</t>
  </si>
  <si>
    <t>秦加玉</t>
  </si>
  <si>
    <t>513021194601150868</t>
  </si>
  <si>
    <t>陈俊芬</t>
  </si>
  <si>
    <t>513021196404130904</t>
  </si>
  <si>
    <t>李纯超</t>
  </si>
  <si>
    <t>513021197203200894</t>
  </si>
  <si>
    <t>李文厚</t>
  </si>
  <si>
    <t>513021194106060873</t>
  </si>
  <si>
    <t>父亲</t>
  </si>
  <si>
    <t>唐小兰</t>
  </si>
  <si>
    <t>513021197403180883</t>
  </si>
  <si>
    <t>潘光伟</t>
  </si>
  <si>
    <t>513021197902040877</t>
  </si>
  <si>
    <t>覃朝惠</t>
  </si>
  <si>
    <t>513021197404050861</t>
  </si>
  <si>
    <t>吴山坤</t>
  </si>
  <si>
    <t>513021196908280914</t>
  </si>
  <si>
    <t>王仕碧</t>
  </si>
  <si>
    <t>513021194204200868</t>
  </si>
  <si>
    <t>赵克辉</t>
  </si>
  <si>
    <t>513021196708270893</t>
  </si>
  <si>
    <t>唐云珍</t>
  </si>
  <si>
    <t>513021194111080860</t>
  </si>
  <si>
    <t>张林宪</t>
  </si>
  <si>
    <t>513021196608200871</t>
  </si>
  <si>
    <t>赵克琼</t>
  </si>
  <si>
    <t>513021195705230867</t>
  </si>
  <si>
    <t>杜世燕</t>
  </si>
  <si>
    <t>513021197603130522</t>
  </si>
  <si>
    <t>张林周</t>
  </si>
  <si>
    <t>513021196803190875</t>
  </si>
  <si>
    <t>张晨童</t>
  </si>
  <si>
    <t>511721201305214678</t>
  </si>
  <si>
    <t>张芳</t>
  </si>
  <si>
    <t>511721200109144700</t>
  </si>
  <si>
    <t>魏正菊</t>
  </si>
  <si>
    <t>513021193707140866</t>
  </si>
  <si>
    <t>向以碧</t>
  </si>
  <si>
    <t>513021194908100865</t>
  </si>
  <si>
    <t>黄春伦</t>
  </si>
  <si>
    <t>513021197507200877</t>
  </si>
  <si>
    <t>子</t>
  </si>
  <si>
    <t>谢国琼</t>
  </si>
  <si>
    <t>513021196304110869</t>
  </si>
  <si>
    <t>梯岩村委会</t>
  </si>
  <si>
    <t>邓益明</t>
  </si>
  <si>
    <t>513021195906020874</t>
  </si>
  <si>
    <t>刘传琼</t>
  </si>
  <si>
    <t>513021195601132509</t>
  </si>
  <si>
    <t>向以芬</t>
  </si>
  <si>
    <t>513021196410231680</t>
  </si>
  <si>
    <t>程才容</t>
  </si>
  <si>
    <t>513021196401292828</t>
  </si>
  <si>
    <t>廖成贵</t>
  </si>
  <si>
    <t>513021195203172556</t>
  </si>
  <si>
    <t>龚德平</t>
  </si>
  <si>
    <t>513021194502052525</t>
  </si>
  <si>
    <t>2022年10月新增</t>
  </si>
  <si>
    <t>李胜全</t>
  </si>
  <si>
    <t>513021196709220871</t>
  </si>
  <si>
    <t>2023年12月新增</t>
  </si>
  <si>
    <t>贺正钦</t>
  </si>
  <si>
    <t>513021193802242502</t>
  </si>
  <si>
    <t>李中菊</t>
  </si>
  <si>
    <t>513021195008262505</t>
  </si>
  <si>
    <t>王汝书</t>
  </si>
  <si>
    <t>51302119500323250X</t>
  </si>
  <si>
    <t>周其琼</t>
  </si>
  <si>
    <t>513021195304082509</t>
  </si>
  <si>
    <t>程才福</t>
  </si>
  <si>
    <t>513021195010012556</t>
  </si>
  <si>
    <t>程伦强</t>
  </si>
  <si>
    <t>513021198109292571</t>
  </si>
  <si>
    <t>王力奥</t>
  </si>
  <si>
    <t>511721200809085131</t>
  </si>
  <si>
    <t>吴美玉</t>
  </si>
  <si>
    <t>513021195209122509</t>
  </si>
  <si>
    <t>张凤兴</t>
  </si>
  <si>
    <t>513021195005112552</t>
  </si>
  <si>
    <t>潘光平</t>
  </si>
  <si>
    <t>513021195406112553</t>
  </si>
  <si>
    <t>贺文兴</t>
  </si>
  <si>
    <t>513021193701130558</t>
  </si>
  <si>
    <t>覃朝碧</t>
  </si>
  <si>
    <t>513021194801292502</t>
  </si>
  <si>
    <t>贺思淮</t>
  </si>
  <si>
    <t>511721200602125132</t>
  </si>
  <si>
    <t>彦仕齐</t>
  </si>
  <si>
    <t>513021194907072508</t>
  </si>
  <si>
    <t>祖母</t>
  </si>
  <si>
    <t>刘传珍</t>
  </si>
  <si>
    <t>513021193306042501</t>
  </si>
  <si>
    <t>刘龙菊</t>
  </si>
  <si>
    <t>513021196309132506</t>
  </si>
  <si>
    <t>吴学英</t>
  </si>
  <si>
    <t>513021195309042506</t>
  </si>
  <si>
    <t>潘传勇</t>
  </si>
  <si>
    <t>513021197411122552</t>
  </si>
  <si>
    <t>李厚淑</t>
  </si>
  <si>
    <t>513021196309202527</t>
  </si>
  <si>
    <t>贺仕芳</t>
  </si>
  <si>
    <t>513021196501212557</t>
  </si>
  <si>
    <t>潘传燕</t>
  </si>
  <si>
    <t>513021198008242567</t>
  </si>
  <si>
    <t>李胜明</t>
  </si>
  <si>
    <t>513021195508122576</t>
  </si>
  <si>
    <t>周正玉</t>
  </si>
  <si>
    <t>513021193906042505</t>
  </si>
  <si>
    <t>何国兰</t>
  </si>
  <si>
    <t>513021193904182520</t>
  </si>
  <si>
    <t>2022年8月新增</t>
  </si>
  <si>
    <t>雷国芬</t>
  </si>
  <si>
    <t>513021195305092506</t>
  </si>
  <si>
    <t>简中淑</t>
  </si>
  <si>
    <t>513021195512142502</t>
  </si>
  <si>
    <t>潘光琼</t>
  </si>
  <si>
    <t>513021196602192524</t>
  </si>
  <si>
    <t>周正碧</t>
  </si>
  <si>
    <t>51302119390520252X</t>
  </si>
  <si>
    <t>王大安</t>
  </si>
  <si>
    <t>513021197005062558</t>
  </si>
  <si>
    <t>王大玉</t>
  </si>
  <si>
    <t>513021196703262501</t>
  </si>
  <si>
    <t>刘发全</t>
  </si>
  <si>
    <t>513021197012250442</t>
  </si>
  <si>
    <t>董鑫</t>
  </si>
  <si>
    <t>513021199308262572</t>
  </si>
  <si>
    <t>陈清碧</t>
  </si>
  <si>
    <t>513021193601242506</t>
  </si>
  <si>
    <t>彭德珍</t>
  </si>
  <si>
    <t>513021194710022507</t>
  </si>
  <si>
    <t>李仕彪</t>
  </si>
  <si>
    <t>513021197710060873</t>
  </si>
  <si>
    <t>郑宇</t>
  </si>
  <si>
    <t>522124198412231224</t>
  </si>
  <si>
    <t>李德强</t>
  </si>
  <si>
    <t>511721200709044690</t>
  </si>
  <si>
    <t>李德雪</t>
  </si>
  <si>
    <t>511721200911104685</t>
  </si>
  <si>
    <t>杨甫碧</t>
  </si>
  <si>
    <t>513021195303130863</t>
  </si>
  <si>
    <t>王淳明</t>
  </si>
  <si>
    <t>513021196702162576</t>
  </si>
  <si>
    <t>贺兴明</t>
  </si>
  <si>
    <t>513021196205112578</t>
  </si>
  <si>
    <t>贺朝芳</t>
  </si>
  <si>
    <t>513021198706162505</t>
  </si>
  <si>
    <t>女儿</t>
  </si>
  <si>
    <t>文贵容</t>
  </si>
  <si>
    <t>513021197004060446</t>
  </si>
  <si>
    <t>胡先丹</t>
  </si>
  <si>
    <t>511721200404025149</t>
  </si>
  <si>
    <t>罗仕英</t>
  </si>
  <si>
    <t>513021197009250644</t>
  </si>
  <si>
    <t>刘富均</t>
  </si>
  <si>
    <t>513021196701040892</t>
  </si>
  <si>
    <t>刘健萍</t>
  </si>
  <si>
    <t>511721201111204674</t>
  </si>
  <si>
    <t>陈洪秀</t>
  </si>
  <si>
    <t>513021197001200466</t>
  </si>
  <si>
    <t>丁元清</t>
  </si>
  <si>
    <t>513021197011282506</t>
  </si>
  <si>
    <t>潘光亮</t>
  </si>
  <si>
    <t>513021196702222575</t>
  </si>
  <si>
    <t>朱朝碧</t>
  </si>
  <si>
    <t>51302119680808254X</t>
  </si>
  <si>
    <t>潘健</t>
  </si>
  <si>
    <t>51172120020426513X</t>
  </si>
  <si>
    <t>潘莉</t>
  </si>
  <si>
    <t>513021199007242527</t>
  </si>
  <si>
    <t>冉美淇</t>
  </si>
  <si>
    <t>511721201404045144</t>
  </si>
  <si>
    <t>潘传远</t>
  </si>
  <si>
    <t>513021195310152550</t>
  </si>
  <si>
    <t>优抚</t>
  </si>
  <si>
    <t>郭仁玉</t>
  </si>
  <si>
    <t>513021193811082504</t>
  </si>
  <si>
    <t>胡杨兵</t>
  </si>
  <si>
    <t>51302119660616255X</t>
  </si>
  <si>
    <t>潘广碧</t>
  </si>
  <si>
    <t>513021193704232503</t>
  </si>
  <si>
    <t>母亲</t>
  </si>
  <si>
    <t>周琼</t>
  </si>
  <si>
    <t>513021197602052542</t>
  </si>
  <si>
    <t>刘中全</t>
  </si>
  <si>
    <t>513021196202022550</t>
  </si>
  <si>
    <t>潘光茂</t>
  </si>
  <si>
    <t>513021194606132554</t>
  </si>
  <si>
    <t>潘远强</t>
  </si>
  <si>
    <t>513021197303262558</t>
  </si>
  <si>
    <t>冯中兰</t>
  </si>
  <si>
    <t>513021194712152508</t>
  </si>
  <si>
    <t>潘广寒</t>
  </si>
  <si>
    <t>513021194509292556</t>
  </si>
  <si>
    <t>庞武碧</t>
  </si>
  <si>
    <t>513021193608300860</t>
  </si>
  <si>
    <t>李胜席</t>
  </si>
  <si>
    <t>513021195411292552</t>
  </si>
  <si>
    <t>廖强</t>
  </si>
  <si>
    <t>513030199306096511</t>
  </si>
  <si>
    <t>贺仕国</t>
  </si>
  <si>
    <t>513021198212292553</t>
  </si>
  <si>
    <t>贺靖丹</t>
  </si>
  <si>
    <t>511721200903195142</t>
  </si>
  <si>
    <t>陈才芬</t>
  </si>
  <si>
    <t>513021196410262508</t>
  </si>
  <si>
    <t>何云双</t>
  </si>
  <si>
    <t>513021195309112551</t>
  </si>
  <si>
    <t>何梓博</t>
  </si>
  <si>
    <t>511721201610080151</t>
  </si>
  <si>
    <t>张凤菊</t>
  </si>
  <si>
    <t>513021195106142507</t>
  </si>
  <si>
    <t>贺仕华</t>
  </si>
  <si>
    <t>513021197408292550</t>
  </si>
  <si>
    <t>蒋兴珍</t>
  </si>
  <si>
    <t>513021196310152520</t>
  </si>
  <si>
    <t>李胜珍</t>
  </si>
  <si>
    <t>513021196107262505</t>
  </si>
  <si>
    <t>甘在玉</t>
  </si>
  <si>
    <t>513029194804131246</t>
  </si>
  <si>
    <t>贺兴全</t>
  </si>
  <si>
    <t>513021195711072551</t>
  </si>
  <si>
    <t>贺鹏</t>
  </si>
  <si>
    <t>511721200407295152</t>
  </si>
  <si>
    <t>徐胜会</t>
  </si>
  <si>
    <t>513021195910132502</t>
  </si>
  <si>
    <t>赵其碧</t>
  </si>
  <si>
    <t>513021195106262584</t>
  </si>
  <si>
    <t>王超</t>
  </si>
  <si>
    <t>513021197809202552</t>
  </si>
  <si>
    <t>李胜余</t>
  </si>
  <si>
    <t>513021195203140896</t>
  </si>
  <si>
    <t>夏壹碧</t>
  </si>
  <si>
    <t>513021195510090884</t>
  </si>
  <si>
    <t>李仕川</t>
  </si>
  <si>
    <t>513021198112050872</t>
  </si>
  <si>
    <t>李元章</t>
  </si>
  <si>
    <t>513021194409262552</t>
  </si>
  <si>
    <t>潘光登</t>
  </si>
  <si>
    <t>513021197202212578</t>
  </si>
  <si>
    <t>潘传能</t>
  </si>
  <si>
    <t>513021194311252559</t>
  </si>
  <si>
    <t>父</t>
  </si>
  <si>
    <t>潘鹏远</t>
  </si>
  <si>
    <t>511721201001105130</t>
  </si>
  <si>
    <t>魏光玲</t>
  </si>
  <si>
    <t>513021197210061407</t>
  </si>
  <si>
    <t>王保艳</t>
  </si>
  <si>
    <t>513021198612132508</t>
  </si>
  <si>
    <t>潘广恒</t>
  </si>
  <si>
    <t>513021196909252552</t>
  </si>
  <si>
    <t>田龙碧</t>
  </si>
  <si>
    <t>513021193704202507</t>
  </si>
  <si>
    <t>潘敏</t>
  </si>
  <si>
    <t>513021199304072528</t>
  </si>
  <si>
    <t>谭代圈</t>
  </si>
  <si>
    <t>513021197107270876</t>
  </si>
  <si>
    <t>谭贵龙</t>
  </si>
  <si>
    <t>511721200504044718</t>
  </si>
  <si>
    <t>谭健翔</t>
  </si>
  <si>
    <t>511721200607144674</t>
  </si>
  <si>
    <t>邓家碧</t>
  </si>
  <si>
    <t>513021194109210865</t>
  </si>
  <si>
    <t>2022年11月新增</t>
  </si>
  <si>
    <t>胡开全</t>
  </si>
  <si>
    <t>513021194302152599</t>
  </si>
  <si>
    <t>丁元淑</t>
  </si>
  <si>
    <t>513021196608202500</t>
  </si>
  <si>
    <t>李胜凯</t>
  </si>
  <si>
    <t>51302119630118255X</t>
  </si>
  <si>
    <t>李仕江</t>
  </si>
  <si>
    <t>511721200311055189</t>
  </si>
  <si>
    <t>王用文</t>
  </si>
  <si>
    <t>513021196206122559</t>
  </si>
  <si>
    <t>周永淑</t>
  </si>
  <si>
    <t>513021196407082506</t>
  </si>
  <si>
    <t>王莉</t>
  </si>
  <si>
    <t>51302119861003252X</t>
  </si>
  <si>
    <t>廖成英</t>
  </si>
  <si>
    <t>513021193603262527</t>
  </si>
  <si>
    <t>李胜荣</t>
  </si>
  <si>
    <t>513021194908242556</t>
  </si>
  <si>
    <t>何国翠</t>
  </si>
  <si>
    <t>513021194408292506</t>
  </si>
  <si>
    <t>贺正大</t>
  </si>
  <si>
    <t>513021194302282553</t>
  </si>
  <si>
    <t>何安琼</t>
  </si>
  <si>
    <t>513021195412122504</t>
  </si>
  <si>
    <t>贺正喜</t>
  </si>
  <si>
    <t>513021194803292557</t>
  </si>
  <si>
    <t>刘厚杰</t>
  </si>
  <si>
    <t>513021197302271671</t>
  </si>
  <si>
    <t>刘世方</t>
  </si>
  <si>
    <t>511721201612210239</t>
  </si>
  <si>
    <t>贺世菊</t>
  </si>
  <si>
    <t>513021197703242505</t>
  </si>
  <si>
    <t>刘少佳</t>
  </si>
  <si>
    <t>513021199808202509</t>
  </si>
  <si>
    <t>李元渠</t>
  </si>
  <si>
    <t>513021193606012574</t>
  </si>
  <si>
    <t>邓益贵</t>
  </si>
  <si>
    <t>513021195301270870</t>
  </si>
  <si>
    <t>李代明</t>
  </si>
  <si>
    <t>513021197006300917</t>
  </si>
  <si>
    <t>李宁均</t>
  </si>
  <si>
    <t>513021199201160891</t>
  </si>
  <si>
    <t>袁代纯</t>
  </si>
  <si>
    <t>513021197004080906</t>
  </si>
  <si>
    <t>程仕义</t>
  </si>
  <si>
    <t>513021196509040876</t>
  </si>
  <si>
    <t>潘传应</t>
  </si>
  <si>
    <t>达川区石板街道铜宝村委会</t>
  </si>
  <si>
    <t>否</t>
  </si>
  <si>
    <t>因病</t>
  </si>
  <si>
    <t>陈超</t>
  </si>
  <si>
    <t>潘广信</t>
  </si>
  <si>
    <t>潘传胜</t>
  </si>
  <si>
    <t>李明全</t>
  </si>
  <si>
    <t>513021196304070457</t>
  </si>
  <si>
    <t>吴美瑞</t>
  </si>
  <si>
    <t>51302119710808088X</t>
  </si>
  <si>
    <t>潘光林</t>
  </si>
  <si>
    <t>513021196805020458</t>
  </si>
  <si>
    <t>潘远峰</t>
  </si>
  <si>
    <t>513021197811240451</t>
  </si>
  <si>
    <t>父子</t>
  </si>
  <si>
    <t>李盛碧</t>
  </si>
  <si>
    <t>彭德琼</t>
  </si>
  <si>
    <t>李代伟</t>
  </si>
  <si>
    <t>513021198405250456</t>
  </si>
  <si>
    <t>母子</t>
  </si>
  <si>
    <t>王春平</t>
  </si>
  <si>
    <t>530324198803061745</t>
  </si>
  <si>
    <t>媳妇</t>
  </si>
  <si>
    <t>李健鸿</t>
  </si>
  <si>
    <t>511721200609045717</t>
  </si>
  <si>
    <t>婆孙</t>
  </si>
  <si>
    <t>李紫颖</t>
  </si>
  <si>
    <t>511721201104085742</t>
  </si>
  <si>
    <t>李盛福</t>
  </si>
  <si>
    <t>李世德</t>
  </si>
  <si>
    <t>513021196109010459</t>
  </si>
  <si>
    <t>邓家娟</t>
  </si>
  <si>
    <t>陈于先</t>
  </si>
  <si>
    <t>李全益</t>
  </si>
  <si>
    <t>袁代秀</t>
  </si>
  <si>
    <t>51302119401112044X</t>
  </si>
  <si>
    <t>潘传代</t>
  </si>
  <si>
    <t>潘广超</t>
  </si>
  <si>
    <t>白学碧</t>
  </si>
  <si>
    <t>李克文</t>
  </si>
  <si>
    <t>513021196604251671</t>
  </si>
  <si>
    <t>潘广珍</t>
  </si>
  <si>
    <t>潘广钰</t>
  </si>
  <si>
    <t>陈正秀</t>
  </si>
  <si>
    <t>513021194507210449</t>
  </si>
  <si>
    <t>高显英</t>
  </si>
  <si>
    <t>陈洪茂</t>
  </si>
  <si>
    <t>513021195208100455</t>
  </si>
  <si>
    <t>李益珍</t>
  </si>
  <si>
    <t>严仕琼</t>
  </si>
  <si>
    <t>黄孝兰</t>
  </si>
  <si>
    <t>袁世同</t>
  </si>
  <si>
    <t>袁碧徽</t>
  </si>
  <si>
    <t>511721200106195588</t>
  </si>
  <si>
    <t>爷孙</t>
  </si>
  <si>
    <t>胡在明</t>
  </si>
  <si>
    <t>51302119540909045X</t>
  </si>
  <si>
    <t>杨海清</t>
  </si>
  <si>
    <t>余勇仪</t>
  </si>
  <si>
    <t>511721200408275727</t>
  </si>
  <si>
    <t>母女</t>
  </si>
  <si>
    <t>潘光梅</t>
  </si>
  <si>
    <t>伍峰</t>
  </si>
  <si>
    <t>513021198108210458</t>
  </si>
  <si>
    <t>伍桂亮</t>
  </si>
  <si>
    <t>511721201003035770</t>
  </si>
  <si>
    <t>王成弟</t>
  </si>
  <si>
    <t>513021197009180455</t>
  </si>
  <si>
    <t>李盛六</t>
  </si>
  <si>
    <t>潘广秀</t>
  </si>
  <si>
    <t>王树立</t>
  </si>
  <si>
    <t>李昱燃</t>
  </si>
  <si>
    <t>51302119990715045X</t>
  </si>
  <si>
    <t>李盛政</t>
  </si>
  <si>
    <t>513021196911280456</t>
  </si>
  <si>
    <t>李威廉</t>
  </si>
  <si>
    <t>51172120061021571X</t>
  </si>
  <si>
    <t>兄弟</t>
  </si>
  <si>
    <t>李盛金</t>
  </si>
  <si>
    <t>李元益</t>
  </si>
  <si>
    <t>文德顺</t>
  </si>
  <si>
    <t>雷正兵</t>
  </si>
  <si>
    <t>陈敏</t>
  </si>
  <si>
    <t>513021197908060465</t>
  </si>
  <si>
    <t>陈相君</t>
  </si>
  <si>
    <t>511721200809125711</t>
  </si>
  <si>
    <t>雷斐</t>
  </si>
  <si>
    <t>513021199903270454</t>
  </si>
  <si>
    <t>杨直全</t>
  </si>
  <si>
    <t>杜善杰</t>
  </si>
  <si>
    <t>李光容</t>
  </si>
  <si>
    <t>雷正伟</t>
  </si>
  <si>
    <t>51302119750316045X</t>
  </si>
  <si>
    <t>雷进</t>
  </si>
  <si>
    <t>511721200607135727</t>
  </si>
  <si>
    <t>父女</t>
  </si>
  <si>
    <t>彭时碧</t>
  </si>
  <si>
    <t>513021194111100446</t>
  </si>
  <si>
    <t xml:space="preserve">父女 </t>
  </si>
  <si>
    <t>徐在碧</t>
  </si>
  <si>
    <t>李杰</t>
  </si>
  <si>
    <t>51302119670715054X</t>
  </si>
  <si>
    <t>吕富树</t>
  </si>
  <si>
    <t>潘兴华</t>
  </si>
  <si>
    <t>罗正荣</t>
  </si>
  <si>
    <t>刘启翠</t>
  </si>
  <si>
    <t>何尤俊</t>
  </si>
  <si>
    <t>513021197805210555</t>
  </si>
  <si>
    <t>潘传娟</t>
  </si>
  <si>
    <t>513021198309240442</t>
  </si>
  <si>
    <t>何宏森</t>
  </si>
  <si>
    <t>511721200612045734</t>
  </si>
  <si>
    <t>何静峡</t>
  </si>
  <si>
    <t>511721200307085721</t>
  </si>
  <si>
    <t>李治润</t>
  </si>
  <si>
    <t>庞启英</t>
  </si>
  <si>
    <t>刘显志</t>
  </si>
  <si>
    <t>潘传建</t>
  </si>
  <si>
    <t>513021197307150473</t>
  </si>
  <si>
    <t>黄维琼</t>
  </si>
  <si>
    <t>513021198505290869</t>
  </si>
  <si>
    <t>潘光静</t>
  </si>
  <si>
    <t>511721200411085721</t>
  </si>
  <si>
    <t>潘光红</t>
  </si>
  <si>
    <t>51172120080105578X</t>
  </si>
  <si>
    <t>潘春桦</t>
  </si>
  <si>
    <t>511721201001055727</t>
  </si>
  <si>
    <t>吴学翠</t>
  </si>
  <si>
    <t>白凯</t>
  </si>
  <si>
    <t>513021198808220454</t>
  </si>
  <si>
    <t>白宇凡</t>
  </si>
  <si>
    <t>511721201011295716</t>
  </si>
  <si>
    <t>潘明秀</t>
  </si>
  <si>
    <t>潘学文</t>
  </si>
  <si>
    <t>51302119310505045X</t>
  </si>
  <si>
    <t>孙发全</t>
  </si>
  <si>
    <t>杨涛</t>
  </si>
  <si>
    <t>513021197608160456</t>
  </si>
  <si>
    <t>潘素琼</t>
  </si>
  <si>
    <t>何才兰</t>
  </si>
  <si>
    <t>潘广国</t>
  </si>
  <si>
    <t>刘运芬</t>
  </si>
  <si>
    <t>51302119451021044X</t>
  </si>
  <si>
    <t>潘广明</t>
  </si>
  <si>
    <t>庞厚琼</t>
  </si>
  <si>
    <t>513021195707040442</t>
  </si>
  <si>
    <t>潘泓光</t>
  </si>
  <si>
    <t>511721201704270116</t>
  </si>
  <si>
    <t xml:space="preserve">婆孙 </t>
  </si>
  <si>
    <t>潘传斗</t>
  </si>
  <si>
    <t>513021199511050452</t>
  </si>
  <si>
    <t>潘强</t>
  </si>
  <si>
    <t>513021198411080457</t>
  </si>
  <si>
    <t>罗军</t>
  </si>
  <si>
    <t>周国</t>
  </si>
  <si>
    <t>熊光玉</t>
  </si>
  <si>
    <t>潘传行</t>
  </si>
  <si>
    <t>王仁通</t>
  </si>
  <si>
    <t>廖坤华</t>
  </si>
  <si>
    <t>廖清强</t>
  </si>
  <si>
    <t>513021198101260452</t>
  </si>
  <si>
    <t>廖鑫</t>
  </si>
  <si>
    <t>511721200307285715</t>
  </si>
  <si>
    <t>胡梅</t>
  </si>
  <si>
    <t>513021198810020443</t>
  </si>
  <si>
    <t>吴昊燃</t>
  </si>
  <si>
    <t>511721201203235718</t>
  </si>
  <si>
    <t>方云淑</t>
  </si>
  <si>
    <t>唐中秀</t>
  </si>
  <si>
    <t>513021195110190448</t>
  </si>
  <si>
    <t>廖清学</t>
  </si>
  <si>
    <t>513021197701160493</t>
  </si>
  <si>
    <t>乐方国</t>
  </si>
  <si>
    <t>唐代建</t>
  </si>
  <si>
    <t>潘明淑</t>
  </si>
  <si>
    <t>陈正高</t>
  </si>
  <si>
    <t>513021195708250476</t>
  </si>
  <si>
    <t>朱中玉</t>
  </si>
  <si>
    <t>潘玉学</t>
  </si>
  <si>
    <t>潘学忠</t>
  </si>
  <si>
    <t>龙伦玉</t>
  </si>
  <si>
    <t>51302119471225044X</t>
  </si>
  <si>
    <t>周永兰</t>
  </si>
  <si>
    <t>陈明全</t>
  </si>
  <si>
    <t>潘伍勇</t>
  </si>
  <si>
    <t>潘明英</t>
  </si>
  <si>
    <t>何武辉</t>
  </si>
  <si>
    <t>513021197806030476</t>
  </si>
  <si>
    <t>庞佑芳</t>
  </si>
  <si>
    <t>刘兴菊</t>
  </si>
  <si>
    <t>周明玉</t>
  </si>
  <si>
    <t>潘旭学</t>
  </si>
  <si>
    <t>张代碧</t>
  </si>
  <si>
    <t>杨波</t>
  </si>
  <si>
    <t>王朝旭</t>
  </si>
  <si>
    <t>雷正碧</t>
  </si>
  <si>
    <t>513021197308040444</t>
  </si>
  <si>
    <t>王珊珊</t>
  </si>
  <si>
    <t>511721200610085724</t>
  </si>
  <si>
    <t>兄妹</t>
  </si>
  <si>
    <t>陈光全</t>
  </si>
  <si>
    <t>李才珍</t>
  </si>
  <si>
    <t>陈洪荣</t>
  </si>
  <si>
    <t>潘学碧</t>
  </si>
  <si>
    <t>白如菊</t>
  </si>
  <si>
    <t>黄万相</t>
  </si>
  <si>
    <t>潘淑琼</t>
  </si>
  <si>
    <t>王仁锡</t>
  </si>
  <si>
    <t>向此全</t>
  </si>
  <si>
    <t>柏在秀</t>
  </si>
  <si>
    <t>陈洪玉</t>
  </si>
  <si>
    <t>潘广建</t>
  </si>
  <si>
    <t>513021196711180450</t>
  </si>
  <si>
    <t>王春梅</t>
  </si>
  <si>
    <t>513021197004146100</t>
  </si>
  <si>
    <t>潘春霖</t>
  </si>
  <si>
    <t>513021199109180451</t>
  </si>
  <si>
    <t>潘昱竹</t>
  </si>
  <si>
    <t>511721200412295720</t>
  </si>
  <si>
    <t>丁福龙</t>
  </si>
  <si>
    <t>陈光凡</t>
  </si>
  <si>
    <t>陈秀群</t>
  </si>
  <si>
    <t>罗平道</t>
  </si>
  <si>
    <t>513021196606270454</t>
  </si>
  <si>
    <t>罗颂玲</t>
  </si>
  <si>
    <t>511721200308045721</t>
  </si>
  <si>
    <t>罗开美</t>
  </si>
  <si>
    <t>513021199807090445</t>
  </si>
  <si>
    <t>何纪华</t>
  </si>
  <si>
    <t>李仕芬</t>
  </si>
  <si>
    <t>柏桦兰</t>
  </si>
  <si>
    <t>罗正明</t>
  </si>
  <si>
    <t>罗有容</t>
  </si>
  <si>
    <t>唐富兴</t>
  </si>
  <si>
    <t>王仁富</t>
  </si>
  <si>
    <t>文春南</t>
  </si>
  <si>
    <t>唐贵玲</t>
  </si>
  <si>
    <t>柏在银</t>
  </si>
  <si>
    <t>吕尚琼</t>
  </si>
  <si>
    <t>李明元</t>
  </si>
  <si>
    <t>513021194612060470</t>
  </si>
  <si>
    <t>谢运玉</t>
  </si>
  <si>
    <t>51302119510829044X</t>
  </si>
  <si>
    <t>陈正英</t>
  </si>
  <si>
    <t>51302119391217044X</t>
  </si>
  <si>
    <t>潘光容</t>
  </si>
  <si>
    <t>陈奉翠</t>
  </si>
  <si>
    <t>熊明树</t>
  </si>
  <si>
    <t>513021196401180471</t>
  </si>
  <si>
    <t>熊新陈</t>
  </si>
  <si>
    <t>51302119860830045X</t>
  </si>
  <si>
    <t>雷天树</t>
  </si>
  <si>
    <t>柏子玉</t>
  </si>
  <si>
    <t>潘广兵</t>
  </si>
  <si>
    <t>李克秀</t>
  </si>
  <si>
    <t>513021196403050443</t>
  </si>
  <si>
    <t>潘传相</t>
  </si>
  <si>
    <t>513021198812250453</t>
  </si>
  <si>
    <t>李倩</t>
  </si>
  <si>
    <t>潘广洪</t>
  </si>
  <si>
    <t>51302119400412045X</t>
  </si>
  <si>
    <t>昝红</t>
  </si>
  <si>
    <t>施泽勇</t>
  </si>
  <si>
    <t>乐武荣</t>
  </si>
  <si>
    <t>王德琦</t>
  </si>
  <si>
    <t>潘广林</t>
  </si>
  <si>
    <t>李香容</t>
  </si>
  <si>
    <t>51302119751128062X</t>
  </si>
  <si>
    <t>达川区石板街道关渡村委会</t>
  </si>
  <si>
    <t>李继芳</t>
  </si>
  <si>
    <t>李福元</t>
  </si>
  <si>
    <t>唐正魁</t>
  </si>
  <si>
    <t>吴中平</t>
  </si>
  <si>
    <t>何由平</t>
  </si>
  <si>
    <t>柏子兰</t>
  </si>
  <si>
    <t>陈俊明</t>
  </si>
  <si>
    <t>513021196210130455</t>
  </si>
  <si>
    <t>陈东红</t>
  </si>
  <si>
    <t>513021199303040460</t>
  </si>
  <si>
    <t>刘运香</t>
  </si>
  <si>
    <t>柏在翠</t>
  </si>
  <si>
    <t>黄建</t>
  </si>
  <si>
    <t>何安杰</t>
  </si>
  <si>
    <t>513021195208150452</t>
  </si>
  <si>
    <t>何尤梅</t>
  </si>
  <si>
    <t>513021197311010449</t>
  </si>
  <si>
    <t>杨长森</t>
  </si>
  <si>
    <t>杨雨欣</t>
  </si>
  <si>
    <t>511721201709080127</t>
  </si>
  <si>
    <t>郭祎瑞</t>
  </si>
  <si>
    <t>511721201410295721</t>
  </si>
  <si>
    <t>唐军华</t>
  </si>
  <si>
    <t>肖学琼</t>
  </si>
  <si>
    <t>唐建军</t>
  </si>
  <si>
    <t>唐自强</t>
  </si>
  <si>
    <t>511721200207255711</t>
  </si>
  <si>
    <t>唐正万</t>
  </si>
  <si>
    <t>513021196509020453</t>
  </si>
  <si>
    <t>唐正芬</t>
  </si>
  <si>
    <t>唐道香</t>
  </si>
  <si>
    <t>刘景珍</t>
  </si>
  <si>
    <t>513021194904080449</t>
  </si>
  <si>
    <t>唐正明</t>
  </si>
  <si>
    <t>513021197209140458</t>
  </si>
  <si>
    <t>谢忠菊</t>
  </si>
  <si>
    <t>513021197502050486</t>
  </si>
  <si>
    <t>唐星星</t>
  </si>
  <si>
    <t>513021199807020455</t>
  </si>
  <si>
    <t>唐靖松</t>
  </si>
  <si>
    <t>511721200306245711</t>
  </si>
  <si>
    <t>黎能华</t>
  </si>
  <si>
    <t>余德明</t>
  </si>
  <si>
    <t>熊明琼</t>
  </si>
  <si>
    <t>唐富兰</t>
  </si>
  <si>
    <t>51302119690305044X</t>
  </si>
  <si>
    <t>刘美渠</t>
  </si>
  <si>
    <t>刘兴碧</t>
  </si>
  <si>
    <t>陈正容</t>
  </si>
  <si>
    <t>方家玉</t>
  </si>
  <si>
    <t>唐体应</t>
  </si>
  <si>
    <t>51302119690405045X</t>
  </si>
  <si>
    <t>唐道顶</t>
  </si>
  <si>
    <t>陈英达</t>
  </si>
  <si>
    <t>苏方珍</t>
  </si>
  <si>
    <t>513021194510190442</t>
  </si>
  <si>
    <t>夏礼琼</t>
  </si>
  <si>
    <t>何安文</t>
  </si>
  <si>
    <t>陈宗金</t>
  </si>
  <si>
    <t>唐正贵</t>
  </si>
  <si>
    <t>蒲光珍</t>
  </si>
  <si>
    <t>陈宗银</t>
  </si>
  <si>
    <t>513021194309270459</t>
  </si>
  <si>
    <t>张林华</t>
  </si>
  <si>
    <t>吴兴秀</t>
  </si>
  <si>
    <t>刘秀珍</t>
  </si>
  <si>
    <t>郭学芬</t>
  </si>
  <si>
    <t>方琼</t>
  </si>
  <si>
    <t>51302119640228044X</t>
  </si>
  <si>
    <t>李明贵</t>
  </si>
  <si>
    <t>陈发珍</t>
  </si>
  <si>
    <t>何治琼</t>
  </si>
  <si>
    <t>邓成珍</t>
  </si>
  <si>
    <t>何永会</t>
  </si>
  <si>
    <t>唐道顺</t>
  </si>
  <si>
    <t>513021194106250458</t>
  </si>
  <si>
    <t>唐正东</t>
  </si>
  <si>
    <t>513021197208200455</t>
  </si>
  <si>
    <t>唐正彪</t>
  </si>
  <si>
    <t>513021197001170455</t>
  </si>
  <si>
    <t>唐钰焯</t>
  </si>
  <si>
    <t>51302119990221045X</t>
  </si>
  <si>
    <t>尹正玉</t>
  </si>
  <si>
    <t>刘远东</t>
  </si>
  <si>
    <t>513021196511270451</t>
  </si>
  <si>
    <t>王琴</t>
  </si>
  <si>
    <t>513021199504160442</t>
  </si>
  <si>
    <t>刘陈会</t>
  </si>
  <si>
    <t>511721200506295713</t>
  </si>
  <si>
    <t>李盛珍</t>
  </si>
  <si>
    <t>郭光碧</t>
  </si>
  <si>
    <t>柴瑶</t>
  </si>
  <si>
    <t>曹兴英</t>
  </si>
  <si>
    <t>513021197004180480</t>
  </si>
  <si>
    <t>柴小涵</t>
  </si>
  <si>
    <t>511721200411105729</t>
  </si>
  <si>
    <t>姐妹</t>
  </si>
  <si>
    <t>柴荣国</t>
  </si>
  <si>
    <t>513021196903140453</t>
  </si>
  <si>
    <t>何刚成</t>
  </si>
  <si>
    <t>张直秀</t>
  </si>
  <si>
    <t>513021195709050441</t>
  </si>
  <si>
    <t>何伍洪</t>
  </si>
  <si>
    <t>513021198206110450</t>
  </si>
  <si>
    <t>何青霖</t>
  </si>
  <si>
    <t>511721201011248987</t>
  </si>
  <si>
    <t>何春燕</t>
  </si>
  <si>
    <t>511721201411265743</t>
  </si>
  <si>
    <t>胡娟梅</t>
  </si>
  <si>
    <t>511322198712047125</t>
  </si>
  <si>
    <t>婆媳</t>
  </si>
  <si>
    <t>何刚玉</t>
  </si>
  <si>
    <t>汤昌云</t>
  </si>
  <si>
    <t>何治珍</t>
  </si>
  <si>
    <t>文桂云</t>
  </si>
  <si>
    <t>雷正玉</t>
  </si>
  <si>
    <t>柏学银</t>
  </si>
  <si>
    <t>何绍全</t>
  </si>
  <si>
    <t>何刚明</t>
  </si>
  <si>
    <t>徐德琼</t>
  </si>
  <si>
    <t>谢国珍</t>
  </si>
  <si>
    <t>王永玉</t>
  </si>
  <si>
    <t>刘兴秀</t>
  </si>
  <si>
    <t>潘明珍</t>
  </si>
  <si>
    <t>伍美燃</t>
  </si>
  <si>
    <t>雷国琼</t>
  </si>
  <si>
    <t>岳术云</t>
  </si>
  <si>
    <t>郑国云</t>
  </si>
  <si>
    <t>刘继碧</t>
  </si>
  <si>
    <t>513021195509200441</t>
  </si>
  <si>
    <t>程一健</t>
  </si>
  <si>
    <t>何刚平</t>
  </si>
  <si>
    <t>51302119650603047X</t>
  </si>
  <si>
    <t>张文菊</t>
  </si>
  <si>
    <t>513021196507011166</t>
  </si>
  <si>
    <t>何浪</t>
  </si>
  <si>
    <t>513021198909010456</t>
  </si>
  <si>
    <t>何波</t>
  </si>
  <si>
    <t>513021198909010448</t>
  </si>
  <si>
    <t>熊婕霖</t>
  </si>
  <si>
    <t>51172120140213571X</t>
  </si>
  <si>
    <t>刘红月</t>
  </si>
  <si>
    <t>吴三珍</t>
  </si>
  <si>
    <t>51302119750806044X</t>
  </si>
  <si>
    <t>何礼梅</t>
  </si>
  <si>
    <t>蒋森红</t>
  </si>
  <si>
    <t>511721200810055722</t>
  </si>
  <si>
    <t>陈正菊</t>
  </si>
  <si>
    <t>李清才</t>
  </si>
  <si>
    <t>513021196904230450</t>
  </si>
  <si>
    <t>李云春</t>
  </si>
  <si>
    <t>51172120051226573X</t>
  </si>
  <si>
    <t>李金县</t>
  </si>
  <si>
    <t>511721201104108991</t>
  </si>
  <si>
    <t>李佳</t>
  </si>
  <si>
    <t>513021199208020461</t>
  </si>
  <si>
    <t>朱胜伟</t>
  </si>
  <si>
    <t>程龙</t>
  </si>
  <si>
    <t>513021198804180491</t>
  </si>
  <si>
    <t>安贵琴</t>
  </si>
  <si>
    <t>522227199506166848</t>
  </si>
  <si>
    <t>程榆钦</t>
  </si>
  <si>
    <t>511721201610160194</t>
  </si>
  <si>
    <t>程勇智</t>
  </si>
  <si>
    <t>511721200802285712</t>
  </si>
  <si>
    <t>王大芬</t>
  </si>
  <si>
    <t>王大明</t>
  </si>
  <si>
    <t>汤文琼</t>
  </si>
  <si>
    <t>513021195706190465</t>
  </si>
  <si>
    <t>贺朝军</t>
  </si>
  <si>
    <t>何绍建</t>
  </si>
  <si>
    <t>何星</t>
  </si>
  <si>
    <t>513021199210250450</t>
  </si>
  <si>
    <t>廖凯</t>
  </si>
  <si>
    <t>何保友</t>
  </si>
  <si>
    <t>唐全珍</t>
  </si>
  <si>
    <t>何刚元</t>
  </si>
  <si>
    <t>刘远琼</t>
  </si>
  <si>
    <t>何纪友</t>
  </si>
  <si>
    <t>李念</t>
  </si>
  <si>
    <t>雷兴兵</t>
  </si>
  <si>
    <t>513021197310260454</t>
  </si>
  <si>
    <t>潘淑俭</t>
  </si>
  <si>
    <t>王元明</t>
  </si>
  <si>
    <t>廖达禄</t>
  </si>
  <si>
    <t>雷万成</t>
  </si>
  <si>
    <t>王前中</t>
  </si>
  <si>
    <t>谢家秀</t>
  </si>
  <si>
    <t>513021194901170449</t>
  </si>
  <si>
    <t>王元林</t>
  </si>
  <si>
    <t>513021196906070454</t>
  </si>
  <si>
    <t>刘顺芳</t>
  </si>
  <si>
    <t>513021196907090481</t>
  </si>
  <si>
    <t>王义傑</t>
  </si>
  <si>
    <t>511721200511045735</t>
  </si>
  <si>
    <t>王义凯</t>
  </si>
  <si>
    <t>511721200511045719</t>
  </si>
  <si>
    <t>王仕财</t>
  </si>
  <si>
    <t>513021199204170454</t>
  </si>
  <si>
    <t>吴鹏威</t>
  </si>
  <si>
    <t>罗德珍</t>
  </si>
  <si>
    <t>汤昌吉</t>
  </si>
  <si>
    <t>郭光清</t>
  </si>
  <si>
    <t>51302119510922046X</t>
  </si>
  <si>
    <t>唐家秀</t>
  </si>
  <si>
    <t>汤文碧</t>
  </si>
  <si>
    <t>罗远珍</t>
  </si>
  <si>
    <t>王仁梨</t>
  </si>
  <si>
    <t>谢国明</t>
  </si>
  <si>
    <t>吕富秀</t>
  </si>
  <si>
    <t>何刚琼</t>
  </si>
  <si>
    <t>熊明碧</t>
  </si>
  <si>
    <t>杨直秀</t>
  </si>
  <si>
    <t>郑家福</t>
  </si>
  <si>
    <t>唐云玉</t>
  </si>
  <si>
    <t>李文英</t>
  </si>
  <si>
    <t>尹正秀</t>
  </si>
  <si>
    <t>51302119450803044X</t>
  </si>
  <si>
    <t>潘传容</t>
  </si>
  <si>
    <t>51302119511215044X</t>
  </si>
  <si>
    <t>黄贤容</t>
  </si>
  <si>
    <t>何纪珍</t>
  </si>
  <si>
    <t>白如纯</t>
  </si>
  <si>
    <t>51302119360701044X</t>
  </si>
  <si>
    <t>林远琼</t>
  </si>
  <si>
    <t>陈光容</t>
  </si>
  <si>
    <t>米元书</t>
  </si>
  <si>
    <t>李清平</t>
  </si>
  <si>
    <t>杜善锡</t>
  </si>
  <si>
    <t>王礼英</t>
  </si>
  <si>
    <t>51302119570602044X</t>
  </si>
  <si>
    <t>王树贵</t>
  </si>
  <si>
    <t>51302119430205047X</t>
  </si>
  <si>
    <t>文德禄</t>
  </si>
  <si>
    <t>潘志玉</t>
  </si>
  <si>
    <t>柏令林</t>
  </si>
  <si>
    <t>刘显琼</t>
  </si>
  <si>
    <t>51302119460606044X</t>
  </si>
  <si>
    <t>刘春</t>
  </si>
  <si>
    <t>潘帆</t>
  </si>
  <si>
    <t>51302119480826044X</t>
  </si>
  <si>
    <t>刘运琼</t>
  </si>
  <si>
    <t>李传兰</t>
  </si>
  <si>
    <t>白如福</t>
  </si>
  <si>
    <t>白学帆</t>
  </si>
  <si>
    <t>吴学喜</t>
  </si>
  <si>
    <t>杜善余</t>
  </si>
  <si>
    <t>白学炳</t>
  </si>
  <si>
    <t>汤博雅</t>
  </si>
  <si>
    <t>陈洪玲</t>
  </si>
  <si>
    <t>何勇坤</t>
  </si>
  <si>
    <t>513021199409110471</t>
  </si>
  <si>
    <t>尹正平</t>
  </si>
  <si>
    <t>袁代琼</t>
  </si>
  <si>
    <t>杨继兰</t>
  </si>
  <si>
    <t>唐朝述</t>
  </si>
  <si>
    <t>庞启琼</t>
  </si>
  <si>
    <t>513021194208130449</t>
  </si>
  <si>
    <t>唐金廷</t>
  </si>
  <si>
    <t>513021196310130452</t>
  </si>
  <si>
    <t>谭万容</t>
  </si>
  <si>
    <t>513021196309290862</t>
  </si>
  <si>
    <t>唐诗川</t>
  </si>
  <si>
    <t>513021198910050455</t>
  </si>
  <si>
    <t>唐诗莹</t>
  </si>
  <si>
    <t>511721200507158980</t>
  </si>
  <si>
    <t>祖孙</t>
  </si>
  <si>
    <t>熊光田</t>
  </si>
  <si>
    <t>文昌志</t>
  </si>
  <si>
    <t>舒德琼</t>
  </si>
  <si>
    <t>陈国琼</t>
  </si>
  <si>
    <t>郭本荣</t>
  </si>
  <si>
    <t>雷仕明</t>
  </si>
  <si>
    <t>董光惠</t>
  </si>
  <si>
    <t>王元久</t>
  </si>
  <si>
    <t>何治银</t>
  </si>
  <si>
    <t>雷世阳</t>
  </si>
  <si>
    <t>何刚芬</t>
  </si>
  <si>
    <t>郭本琼</t>
  </si>
  <si>
    <t>潘传秀</t>
  </si>
  <si>
    <t>51302119501121044X</t>
  </si>
  <si>
    <t>唐祥程</t>
  </si>
  <si>
    <t>廖德芳</t>
  </si>
  <si>
    <t>张光玉</t>
  </si>
  <si>
    <t>刘继田</t>
  </si>
  <si>
    <t>陈兴英</t>
  </si>
  <si>
    <t>张兆滨</t>
  </si>
  <si>
    <t>杨宜富</t>
  </si>
  <si>
    <t>陈文江</t>
  </si>
  <si>
    <t>达川区石板街道金刚村委会</t>
  </si>
  <si>
    <t>蒋兴碧</t>
  </si>
  <si>
    <t>513021195612220969</t>
  </si>
  <si>
    <t>刘继远</t>
  </si>
  <si>
    <t>李朝必</t>
  </si>
  <si>
    <t>513021195110120028</t>
  </si>
  <si>
    <t>袁宾</t>
  </si>
  <si>
    <t>513021197509020458</t>
  </si>
  <si>
    <t>刘纯希</t>
  </si>
  <si>
    <t>51302119941219045X</t>
  </si>
  <si>
    <t>何治秀</t>
  </si>
  <si>
    <t>李后珍</t>
  </si>
  <si>
    <t>513021194812160441</t>
  </si>
  <si>
    <t>何柚君</t>
  </si>
  <si>
    <t>51172120001029571X</t>
  </si>
  <si>
    <t>何治谷</t>
  </si>
  <si>
    <t>513021194404090456</t>
  </si>
  <si>
    <t>何安明</t>
  </si>
  <si>
    <t>513021197112150457</t>
  </si>
  <si>
    <t>何平</t>
  </si>
  <si>
    <t>513021196804020448</t>
  </si>
  <si>
    <t>叔叔</t>
  </si>
  <si>
    <t>蔡武梅</t>
  </si>
  <si>
    <t>513021197505280885</t>
  </si>
  <si>
    <t>何霜</t>
  </si>
  <si>
    <t>511721200611045724</t>
  </si>
  <si>
    <t>何刚云</t>
  </si>
  <si>
    <t>张修菊</t>
  </si>
  <si>
    <t>51302119660610064X</t>
  </si>
  <si>
    <t>何晨萱</t>
  </si>
  <si>
    <t>511721201410275720</t>
  </si>
  <si>
    <t>唐超玉</t>
  </si>
  <si>
    <t>刘顺竹</t>
  </si>
  <si>
    <t>513021197508220458</t>
  </si>
  <si>
    <t>刘泯希</t>
  </si>
  <si>
    <t>511721200412255729</t>
  </si>
  <si>
    <t>何永富</t>
  </si>
  <si>
    <t>何治根</t>
  </si>
  <si>
    <t>513021197007130972</t>
  </si>
  <si>
    <t>王武兰</t>
  </si>
  <si>
    <t>513021197208200869</t>
  </si>
  <si>
    <t>何安琴</t>
  </si>
  <si>
    <t>513021199404210529</t>
  </si>
  <si>
    <t>刘运贵</t>
  </si>
  <si>
    <t>曾凡丹</t>
  </si>
  <si>
    <t>513021199505220961</t>
  </si>
  <si>
    <t>潘明菊</t>
  </si>
  <si>
    <t>曾庆林</t>
  </si>
  <si>
    <t>513021195710270978</t>
  </si>
  <si>
    <t>李文群</t>
  </si>
  <si>
    <t>杨復新</t>
  </si>
  <si>
    <t>513021194507123433</t>
  </si>
  <si>
    <t>杨和平</t>
  </si>
  <si>
    <t>513021197302103491</t>
  </si>
  <si>
    <t>杨茂淋</t>
  </si>
  <si>
    <t>511721200510265728</t>
  </si>
  <si>
    <t>杨纪山</t>
  </si>
  <si>
    <t>511721200802075715</t>
  </si>
  <si>
    <t>唐超明</t>
  </si>
  <si>
    <t>陈永玉</t>
  </si>
  <si>
    <t>唐天珍</t>
  </si>
  <si>
    <t>蒲一兵</t>
  </si>
  <si>
    <t>513021197907160974</t>
  </si>
  <si>
    <t>蒲晓红</t>
  </si>
  <si>
    <t>513021197710030965</t>
  </si>
  <si>
    <t>伍登君</t>
  </si>
  <si>
    <t>伍云辉</t>
  </si>
  <si>
    <t>513021196304041031</t>
  </si>
  <si>
    <t>伍柏霖</t>
  </si>
  <si>
    <t>511721200512295728</t>
  </si>
  <si>
    <t>何安连</t>
  </si>
  <si>
    <t>蒲忠华</t>
  </si>
  <si>
    <t>513021196010240975</t>
  </si>
  <si>
    <t>蒲正万</t>
  </si>
  <si>
    <t>513021198606140974</t>
  </si>
  <si>
    <t>蒲雨</t>
  </si>
  <si>
    <t>511721201004205727</t>
  </si>
  <si>
    <t>李春锋</t>
  </si>
  <si>
    <t>邓正琼</t>
  </si>
  <si>
    <t>513021196307220967</t>
  </si>
  <si>
    <t>谢孝雄</t>
  </si>
  <si>
    <t>柏在金</t>
  </si>
  <si>
    <t>513021196501090967</t>
  </si>
  <si>
    <t>谢义春</t>
  </si>
  <si>
    <t>513021199402270974</t>
  </si>
  <si>
    <t>唐小林</t>
  </si>
  <si>
    <t>肖大祥</t>
  </si>
  <si>
    <t>513021194905060458</t>
  </si>
  <si>
    <t>张良琼</t>
  </si>
  <si>
    <t>何秋燕</t>
  </si>
  <si>
    <t>51172120050115572X</t>
  </si>
  <si>
    <t>邓曈</t>
  </si>
  <si>
    <t>邓宽</t>
  </si>
  <si>
    <t>51172120030115575X</t>
  </si>
  <si>
    <t xml:space="preserve">兄妹 </t>
  </si>
  <si>
    <t>李元秀</t>
  </si>
  <si>
    <t>513021193802020969</t>
  </si>
  <si>
    <t>陈文君</t>
  </si>
  <si>
    <t>513021198803180975</t>
  </si>
  <si>
    <t>周海英</t>
  </si>
  <si>
    <t>513021198707206549</t>
  </si>
  <si>
    <t>陈依涵</t>
  </si>
  <si>
    <t>511721201601065726</t>
  </si>
  <si>
    <t>陈方林</t>
  </si>
  <si>
    <t>513021195703030976</t>
  </si>
  <si>
    <t>陈奕轩</t>
  </si>
  <si>
    <t>51172120110823571X</t>
  </si>
  <si>
    <t>杨长木</t>
  </si>
  <si>
    <t>杨宜安</t>
  </si>
  <si>
    <t>李群厚</t>
  </si>
  <si>
    <t>柏子友</t>
  </si>
  <si>
    <t>张林洁</t>
  </si>
  <si>
    <t>关武雨</t>
  </si>
  <si>
    <t>511721200509295735</t>
  </si>
  <si>
    <t>萧鸿君</t>
  </si>
  <si>
    <t>龚华杰</t>
  </si>
  <si>
    <t>邓仁财</t>
  </si>
  <si>
    <t>513021195412230978</t>
  </si>
  <si>
    <t>邓红艳</t>
  </si>
  <si>
    <t>513021198504160966</t>
  </si>
  <si>
    <t>龚久桂</t>
  </si>
  <si>
    <t>511721200808286150</t>
  </si>
  <si>
    <t>何尤刚</t>
  </si>
  <si>
    <t>何安勤</t>
  </si>
  <si>
    <t>513021196002020972</t>
  </si>
  <si>
    <t>曹坤秀</t>
  </si>
  <si>
    <t>51302119541020096X</t>
  </si>
  <si>
    <t>潘广清</t>
  </si>
  <si>
    <t>陈仲秀</t>
  </si>
  <si>
    <t>王代华</t>
  </si>
  <si>
    <t>513021195312200974</t>
  </si>
  <si>
    <t>朱大碧</t>
  </si>
  <si>
    <t>唐朝国</t>
  </si>
  <si>
    <t>513021196812230998</t>
  </si>
  <si>
    <t>黄新琼</t>
  </si>
  <si>
    <t>513021196902200960</t>
  </si>
  <si>
    <t>唐莉华</t>
  </si>
  <si>
    <t>511721200204065728</t>
  </si>
  <si>
    <t>陈碧光</t>
  </si>
  <si>
    <t>潘传英</t>
  </si>
  <si>
    <t>51302119630808096X</t>
  </si>
  <si>
    <t>肖大寿</t>
  </si>
  <si>
    <t>513021195608200092</t>
  </si>
  <si>
    <t>肖银林</t>
  </si>
  <si>
    <t>513021198907030971</t>
  </si>
  <si>
    <t>肖涵丹</t>
  </si>
  <si>
    <t>511721201110255728</t>
  </si>
  <si>
    <t>潘传会</t>
  </si>
  <si>
    <t>杨世碧</t>
  </si>
  <si>
    <t>潘松林</t>
  </si>
  <si>
    <t>51302119870805097X</t>
  </si>
  <si>
    <t>潘怡诚</t>
  </si>
  <si>
    <t>511721201504305716</t>
  </si>
  <si>
    <t>潘怡馨</t>
  </si>
  <si>
    <t>511721201308065727</t>
  </si>
  <si>
    <t>刘文菊</t>
  </si>
  <si>
    <t>伍登清</t>
  </si>
  <si>
    <t>513021195608260976</t>
  </si>
  <si>
    <t>谢义珍</t>
  </si>
  <si>
    <t>杨长碧</t>
  </si>
  <si>
    <t>陈朝珍</t>
  </si>
  <si>
    <t>周文秀</t>
  </si>
  <si>
    <t>杨天义</t>
  </si>
  <si>
    <t>杨心平</t>
  </si>
  <si>
    <t>51302119631118097X</t>
  </si>
  <si>
    <t>王一琼</t>
  </si>
  <si>
    <t>513021196506070965</t>
  </si>
  <si>
    <t>唐寒莱</t>
  </si>
  <si>
    <t>511721200909025785</t>
  </si>
  <si>
    <t>蒋时秀</t>
  </si>
  <si>
    <t>伍世贵</t>
  </si>
  <si>
    <t>513021196709130972</t>
  </si>
  <si>
    <t>伍雪梦</t>
  </si>
  <si>
    <t>513021199310090968</t>
  </si>
  <si>
    <t>张尚菊</t>
  </si>
  <si>
    <t>伍仕亮</t>
  </si>
  <si>
    <t>51302119730925097X</t>
  </si>
  <si>
    <t>潘传银</t>
  </si>
  <si>
    <t>陈方明</t>
  </si>
  <si>
    <t>关成英</t>
  </si>
  <si>
    <t>513021195610030969</t>
  </si>
  <si>
    <t>陈重秀</t>
  </si>
  <si>
    <t>陈仲魁</t>
  </si>
  <si>
    <t>蒋明华</t>
  </si>
  <si>
    <t>唐清元</t>
  </si>
  <si>
    <t>曾庆明</t>
  </si>
  <si>
    <t>柏子根</t>
  </si>
  <si>
    <t>吴定兰</t>
  </si>
  <si>
    <t>刘德全</t>
  </si>
  <si>
    <t>513021196511010975</t>
  </si>
  <si>
    <t>刘国</t>
  </si>
  <si>
    <t>513021198608200977</t>
  </si>
  <si>
    <t>刘卿</t>
  </si>
  <si>
    <t>511721201106175725</t>
  </si>
  <si>
    <t>王代玲</t>
  </si>
  <si>
    <t>杨心建</t>
  </si>
  <si>
    <t>513021196712090975</t>
  </si>
  <si>
    <t>夏礼莲</t>
  </si>
  <si>
    <t>任治艺</t>
  </si>
  <si>
    <t>513021199211120973</t>
  </si>
  <si>
    <t>王金烈</t>
  </si>
  <si>
    <t>唐治贵</t>
  </si>
  <si>
    <t>51302119750504097X</t>
  </si>
  <si>
    <t>李兴元</t>
  </si>
  <si>
    <t>邓成福</t>
  </si>
  <si>
    <t>513021194209220972</t>
  </si>
  <si>
    <t>陈其忠</t>
  </si>
  <si>
    <t>郭兆珍</t>
  </si>
  <si>
    <t>陈方元</t>
  </si>
  <si>
    <t>张家芬</t>
  </si>
  <si>
    <t>513021195806150962</t>
  </si>
  <si>
    <t>邓正余</t>
  </si>
  <si>
    <t>杨长明</t>
  </si>
  <si>
    <t>陈本玉</t>
  </si>
  <si>
    <t>肖大贵</t>
  </si>
  <si>
    <t>张忠英</t>
  </si>
  <si>
    <t>何安玉</t>
  </si>
  <si>
    <t>唐方英</t>
  </si>
  <si>
    <t>陈英涛</t>
  </si>
  <si>
    <t>51302119580521109X</t>
  </si>
  <si>
    <t>陈东</t>
  </si>
  <si>
    <t>513021198611190976</t>
  </si>
  <si>
    <t>陈莉</t>
  </si>
  <si>
    <t>513021198206270964</t>
  </si>
  <si>
    <t>张志英</t>
  </si>
  <si>
    <t>刘继贵</t>
  </si>
  <si>
    <t>张林翠</t>
  </si>
  <si>
    <t>李天芬</t>
  </si>
  <si>
    <t>唐留东</t>
  </si>
  <si>
    <t>刘川兰</t>
  </si>
  <si>
    <t>何小波</t>
  </si>
  <si>
    <t>513021197404270549</t>
  </si>
  <si>
    <t>刘宏</t>
  </si>
  <si>
    <t>513021199808210453</t>
  </si>
  <si>
    <t>刘继忠</t>
  </si>
  <si>
    <t>513021197112250458</t>
  </si>
  <si>
    <t>张良珍</t>
  </si>
  <si>
    <t>李胜英</t>
  </si>
  <si>
    <t>李得英</t>
  </si>
  <si>
    <t>柏代翠</t>
  </si>
  <si>
    <t>513021196712080961</t>
  </si>
  <si>
    <t>刘春莉</t>
  </si>
  <si>
    <t>511721200311025721</t>
  </si>
  <si>
    <t>刘梅林</t>
  </si>
  <si>
    <t>513021199005170443</t>
  </si>
  <si>
    <t>贺正贵</t>
  </si>
  <si>
    <t>张军连</t>
  </si>
  <si>
    <t>张思</t>
  </si>
  <si>
    <t>513021199311070440</t>
  </si>
  <si>
    <t>陈正琼</t>
  </si>
  <si>
    <t>刘森峡</t>
  </si>
  <si>
    <t>511721200202235711</t>
  </si>
  <si>
    <t>蒋兴玉</t>
  </si>
  <si>
    <t>杨长金</t>
  </si>
  <si>
    <t>贺碧</t>
  </si>
  <si>
    <t>513021199903010441</t>
  </si>
  <si>
    <t>吴林晋</t>
  </si>
  <si>
    <t>邹正敏</t>
  </si>
  <si>
    <t>陈加寿</t>
  </si>
  <si>
    <t>彭时玉</t>
  </si>
  <si>
    <t>唐全碧</t>
  </si>
  <si>
    <t>51302119350829044X</t>
  </si>
  <si>
    <t>朱洪云</t>
  </si>
  <si>
    <t>513021197210030459</t>
  </si>
  <si>
    <t>柏子珍</t>
  </si>
  <si>
    <t>51302119470724044X</t>
  </si>
  <si>
    <t>何永珍</t>
  </si>
  <si>
    <t>51302119311029044X</t>
  </si>
  <si>
    <t>邹帮贵</t>
  </si>
  <si>
    <t>邹加</t>
  </si>
  <si>
    <t>513021199507100445</t>
  </si>
  <si>
    <t>唐道英</t>
  </si>
  <si>
    <t>51302119250107044X</t>
  </si>
  <si>
    <t>唐天惠</t>
  </si>
  <si>
    <t>杨宜孝</t>
  </si>
  <si>
    <t>陈如珍</t>
  </si>
  <si>
    <t>刘兴翠</t>
  </si>
  <si>
    <t>李大军</t>
  </si>
  <si>
    <t>513021197404180455</t>
  </si>
  <si>
    <t>何治碧</t>
  </si>
  <si>
    <t>黎刚英</t>
  </si>
  <si>
    <t>51302119570829046X</t>
  </si>
  <si>
    <t>何由菊</t>
  </si>
  <si>
    <t>刘启全</t>
  </si>
  <si>
    <t>513021195811010454</t>
  </si>
  <si>
    <t>刘嘉瑶</t>
  </si>
  <si>
    <t>511721201209145721</t>
  </si>
  <si>
    <t>刘优美</t>
  </si>
  <si>
    <t>511721200906075728</t>
  </si>
  <si>
    <t>黎治菊</t>
  </si>
  <si>
    <t>刘景国</t>
  </si>
  <si>
    <t>李大珍</t>
  </si>
  <si>
    <t>51302119431004044X</t>
  </si>
  <si>
    <t>秦仙碧</t>
  </si>
  <si>
    <t>魏露梅</t>
  </si>
  <si>
    <t>唐青</t>
  </si>
  <si>
    <t>513021197110280469</t>
  </si>
  <si>
    <t>魏迪</t>
  </si>
  <si>
    <t>511721200110115720</t>
  </si>
  <si>
    <t>雷涵熙</t>
  </si>
  <si>
    <t>51172120120419572X</t>
  </si>
  <si>
    <t>雷默涵</t>
  </si>
  <si>
    <t>511721201204195746</t>
  </si>
  <si>
    <t>张元友</t>
  </si>
  <si>
    <t>夏本玉</t>
  </si>
  <si>
    <t>刘运碧</t>
  </si>
  <si>
    <t>方国秀</t>
  </si>
  <si>
    <t>肖大云</t>
  </si>
  <si>
    <t>513021195309170452</t>
  </si>
  <si>
    <t>肖启红</t>
  </si>
  <si>
    <t>513021200006025729</t>
  </si>
  <si>
    <t>唐中田</t>
  </si>
  <si>
    <t>向可英</t>
  </si>
  <si>
    <t>513021194612120445</t>
  </si>
  <si>
    <t>周正友</t>
  </si>
  <si>
    <t>51302119380212045X</t>
  </si>
  <si>
    <t>杨才珍</t>
  </si>
  <si>
    <t>513021194101060444</t>
  </si>
  <si>
    <t>王兴碧</t>
  </si>
  <si>
    <t>何刚英</t>
  </si>
  <si>
    <t>刘运道</t>
  </si>
  <si>
    <t>513021195001260451</t>
  </si>
  <si>
    <t>张安容</t>
  </si>
  <si>
    <t>51302119760211714X</t>
  </si>
  <si>
    <t>刘博文</t>
  </si>
  <si>
    <t>51302120030826571X</t>
  </si>
  <si>
    <t>刘沁文</t>
  </si>
  <si>
    <t>513021200005015721</t>
  </si>
  <si>
    <t>唐全华</t>
  </si>
  <si>
    <t>刘运清</t>
  </si>
  <si>
    <t>513021194804130445</t>
  </si>
  <si>
    <t>唐全斌</t>
  </si>
  <si>
    <t>51302119390525045X</t>
  </si>
  <si>
    <t>朱洪碧</t>
  </si>
  <si>
    <t>唐全国</t>
  </si>
  <si>
    <t>513021194709220450</t>
  </si>
  <si>
    <t>唐朝文</t>
  </si>
  <si>
    <t>罗正珍</t>
  </si>
  <si>
    <t>513021194510070440</t>
  </si>
  <si>
    <t>唐朝贵</t>
  </si>
  <si>
    <t>余明成</t>
  </si>
  <si>
    <t>唐朝秀</t>
  </si>
  <si>
    <t>513021195611260440</t>
  </si>
  <si>
    <t>唐天亮</t>
  </si>
  <si>
    <t>蔡友英</t>
  </si>
  <si>
    <t>513021195012100445</t>
  </si>
  <si>
    <t>魏廷琼</t>
  </si>
  <si>
    <t>何治田</t>
  </si>
  <si>
    <t>柏子会</t>
  </si>
  <si>
    <t>魏贵顺</t>
  </si>
  <si>
    <t>向道玉</t>
  </si>
  <si>
    <t>何治洪</t>
  </si>
  <si>
    <t>刘运鸠</t>
  </si>
  <si>
    <t>朱兴平</t>
  </si>
  <si>
    <t>陈凤胜</t>
  </si>
  <si>
    <t>何治贵</t>
  </si>
  <si>
    <t>51302119531105045X</t>
  </si>
  <si>
    <t>肖学明</t>
  </si>
  <si>
    <t>肖策骏</t>
  </si>
  <si>
    <t>513021199110200456</t>
  </si>
  <si>
    <t>李召荣</t>
  </si>
  <si>
    <t>李亮</t>
  </si>
  <si>
    <t>513021199211060472</t>
  </si>
  <si>
    <t>李天星</t>
  </si>
  <si>
    <t>513021199502030441</t>
  </si>
  <si>
    <t>何治达</t>
  </si>
  <si>
    <t>51302119400102047X</t>
  </si>
  <si>
    <t>唐修竹</t>
  </si>
  <si>
    <t>51302119370707044X</t>
  </si>
  <si>
    <t>何安林</t>
  </si>
  <si>
    <t>513021197208090452</t>
  </si>
  <si>
    <t>李世山</t>
  </si>
  <si>
    <t>蒋时珍</t>
  </si>
  <si>
    <t>邱后珍</t>
  </si>
  <si>
    <t>罗定碧</t>
  </si>
  <si>
    <t>李世成</t>
  </si>
  <si>
    <t>李唐俏</t>
  </si>
  <si>
    <t>513021198801070449</t>
  </si>
  <si>
    <t>刘传英</t>
  </si>
  <si>
    <t>张培福</t>
  </si>
  <si>
    <t>51302119450405046X</t>
  </si>
  <si>
    <t>肖启碧</t>
  </si>
  <si>
    <t>丁永芳</t>
  </si>
  <si>
    <t>陈杰</t>
  </si>
  <si>
    <t>513021197209220458</t>
  </si>
  <si>
    <t>陈虹岚</t>
  </si>
  <si>
    <t>513021199911300449</t>
  </si>
  <si>
    <t>谢成玉</t>
  </si>
  <si>
    <t>蒋光兰</t>
  </si>
  <si>
    <t>李华明</t>
  </si>
  <si>
    <t>李胜兰</t>
  </si>
  <si>
    <t>潘传安</t>
  </si>
  <si>
    <t>51302119491123045X</t>
  </si>
  <si>
    <t>513021197907230442</t>
  </si>
  <si>
    <t>朱真莉</t>
  </si>
  <si>
    <t>511721200107045725</t>
  </si>
  <si>
    <t>夏正碧</t>
  </si>
  <si>
    <t>李胜淑</t>
  </si>
  <si>
    <t>胡兆兵</t>
  </si>
  <si>
    <t>蒲光芬</t>
  </si>
  <si>
    <t>513021196412290967</t>
  </si>
  <si>
    <t>杨登源</t>
  </si>
  <si>
    <t>李洪莉</t>
  </si>
  <si>
    <t>柏子英</t>
  </si>
  <si>
    <t>513021196803200965</t>
  </si>
  <si>
    <t>李红梅</t>
  </si>
  <si>
    <t>513021198810160964</t>
  </si>
  <si>
    <t>刘继富</t>
  </si>
  <si>
    <t>王代明</t>
  </si>
  <si>
    <t>51302119581209096X</t>
  </si>
  <si>
    <t>罗智文</t>
  </si>
  <si>
    <t>511721200306145710</t>
  </si>
  <si>
    <t>何安银</t>
  </si>
  <si>
    <t>陶思辉</t>
  </si>
  <si>
    <t>513021196707160967</t>
  </si>
  <si>
    <t>何燕</t>
  </si>
  <si>
    <t>513021198905240967</t>
  </si>
  <si>
    <t>何芳</t>
  </si>
  <si>
    <t>511721200011095728</t>
  </si>
  <si>
    <t>王永秀</t>
  </si>
  <si>
    <t>魏能平</t>
  </si>
  <si>
    <t>513021195608180976</t>
  </si>
  <si>
    <t>谢臣芬</t>
  </si>
  <si>
    <t>513021195903210963</t>
  </si>
  <si>
    <t>唐仕翠</t>
  </si>
  <si>
    <t>51302119470605096X</t>
  </si>
  <si>
    <t>夏明翠</t>
  </si>
  <si>
    <t>李正友</t>
  </si>
  <si>
    <t>唐清群</t>
  </si>
  <si>
    <t>何安清</t>
  </si>
  <si>
    <t>邓正清</t>
  </si>
  <si>
    <t>潘学玉</t>
  </si>
  <si>
    <t>51302119370619044X</t>
  </si>
  <si>
    <t>李清国</t>
  </si>
  <si>
    <t>邹帮英</t>
  </si>
  <si>
    <t>钟发珍</t>
  </si>
  <si>
    <t>夏义国</t>
  </si>
  <si>
    <t>李世贵</t>
  </si>
  <si>
    <t>吴永秀</t>
  </si>
  <si>
    <t>龙怀英</t>
  </si>
  <si>
    <t>李世洪</t>
  </si>
  <si>
    <t>513021195804050458</t>
  </si>
  <si>
    <t>李德银</t>
  </si>
  <si>
    <t>513021199306270472</t>
  </si>
  <si>
    <t>陈奉雪</t>
  </si>
  <si>
    <t>廖坤玉</t>
  </si>
  <si>
    <t>何治芳</t>
  </si>
  <si>
    <t>513021197311260966</t>
  </si>
  <si>
    <t>朱玲慧</t>
  </si>
  <si>
    <t>513021199806083040</t>
  </si>
  <si>
    <t>程世轩</t>
  </si>
  <si>
    <t>51302119570905096X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</si>
</sst>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name val="黑体"/>
      <charset val="134"/>
    </font>
    <font>
      <sz val="10"/>
      <name val="方正黑体_GBK"/>
      <charset val="134"/>
    </font>
    <font>
      <sz val="11"/>
      <name val="方正黑体_GBK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color rgb="FF333333"/>
      <name val="宋体"/>
      <charset val="134"/>
    </font>
    <font>
      <sz val="11"/>
      <color rgb="FF333333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1" xfId="51" applyFont="1" applyFill="1" applyBorder="1" applyAlignment="1">
      <alignment horizontal="center" vertical="center"/>
    </xf>
    <xf numFmtId="0" fontId="2" fillId="0" borderId="2" xfId="51" applyFont="1" applyFill="1" applyBorder="1" applyAlignment="1" applyProtection="1">
      <alignment horizontal="center" vertical="center" wrapText="1"/>
    </xf>
    <xf numFmtId="49" fontId="2" fillId="0" borderId="2" xfId="51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51" applyFont="1" applyFill="1" applyBorder="1" applyAlignment="1" applyProtection="1">
      <alignment horizontal="center" vertical="center" wrapText="1" shrinkToFit="1"/>
    </xf>
    <xf numFmtId="0" fontId="2" fillId="0" borderId="3" xfId="51" applyFont="1" applyFill="1" applyBorder="1" applyAlignment="1" applyProtection="1">
      <alignment horizontal="center" vertical="center" wrapText="1"/>
    </xf>
    <xf numFmtId="49" fontId="2" fillId="0" borderId="3" xfId="51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51" applyFont="1" applyFill="1" applyBorder="1" applyAlignment="1" applyProtection="1">
      <alignment horizontal="center" vertical="center" wrapText="1" shrinkToFit="1"/>
    </xf>
    <xf numFmtId="0" fontId="4" fillId="0" borderId="3" xfId="51" applyFont="1" applyFill="1" applyBorder="1" applyAlignment="1" applyProtection="1">
      <alignment horizontal="center" vertical="center" wrapText="1"/>
    </xf>
    <xf numFmtId="0" fontId="5" fillId="0" borderId="3" xfId="51" applyFont="1" applyFill="1" applyBorder="1" applyAlignment="1" applyProtection="1">
      <alignment horizontal="center" vertical="center" wrapText="1"/>
    </xf>
    <xf numFmtId="49" fontId="5" fillId="0" borderId="3" xfId="51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51" applyFont="1" applyFill="1" applyBorder="1" applyAlignment="1" applyProtection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3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0" fillId="0" borderId="3" xfId="0" applyBorder="1" applyAlignment="1" quotePrefix="1">
      <alignment horizontal="center" vertical="center"/>
    </xf>
    <xf numFmtId="0" fontId="6" fillId="0" borderId="3" xfId="0" applyFont="1" applyFill="1" applyBorder="1" applyAlignment="1" quotePrefix="1">
      <alignment horizontal="center" vertical="center" wrapText="1" shrinkToFit="1"/>
    </xf>
    <xf numFmtId="0" fontId="8" fillId="0" borderId="3" xfId="0" applyFont="1" applyBorder="1" applyAlignment="1" quotePrefix="1">
      <alignment horizontal="center" vertical="center" wrapText="1"/>
    </xf>
    <xf numFmtId="0" fontId="0" fillId="0" borderId="3" xfId="0" applyBorder="1" quotePrefix="1">
      <alignment vertical="center"/>
    </xf>
    <xf numFmtId="0" fontId="6" fillId="0" borderId="3" xfId="0" applyFont="1" applyFill="1" applyBorder="1" applyAlignment="1" quotePrefix="1">
      <alignment horizontal="center" wrapText="1" shrinkToFit="1"/>
    </xf>
    <xf numFmtId="0" fontId="0" fillId="0" borderId="3" xfId="0" applyFont="1" applyFill="1" applyBorder="1" applyAlignment="1" quotePrefix="1">
      <alignment horizontal="center" vertical="center"/>
    </xf>
    <xf numFmtId="0" fontId="5" fillId="0" borderId="3" xfId="0" applyFont="1" applyFill="1" applyBorder="1" applyAlignment="1" quotePrefix="1">
      <alignment horizontal="center" vertical="center"/>
    </xf>
    <xf numFmtId="0" fontId="10" fillId="0" borderId="3" xfId="0" applyFont="1" applyFill="1" applyBorder="1" applyAlignment="1" quotePrefix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5" xfId="49"/>
    <cellStyle name="常规 53" xfId="50"/>
    <cellStyle name="常规_2016年第三季度社会救助发放(定) 2" xfId="51"/>
    <cellStyle name="常规_Sheet1" xfId="52"/>
    <cellStyle name="常规 409" xfId="53"/>
    <cellStyle name="常规 2" xfId="54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707;&#26495;10&#263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580esp070crv21\FileStorage\File\2021-12\&#30334;&#33410;10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513021196207110453</v>
          </cell>
          <cell r="C2" t="str">
            <v>男</v>
          </cell>
          <cell r="D2" t="str">
            <v>汉族</v>
          </cell>
          <cell r="E2" t="str">
            <v>初中</v>
          </cell>
          <cell r="F2" t="str">
            <v>已婚</v>
          </cell>
          <cell r="G2" t="str">
            <v>农业</v>
          </cell>
        </row>
        <row r="2">
          <cell r="J2" t="str">
            <v>石板街道</v>
          </cell>
          <cell r="K2" t="str">
            <v>关渡村</v>
          </cell>
          <cell r="L2" t="str">
            <v>四川省达县石板镇长青村4组</v>
          </cell>
          <cell r="M2" t="str">
            <v>四川省达县石板镇长青村4组</v>
          </cell>
          <cell r="N2" t="str">
            <v>何安碧</v>
          </cell>
          <cell r="O2" t="str">
            <v>配偶</v>
          </cell>
        </row>
        <row r="2">
          <cell r="Q2" t="str">
            <v>2315188</v>
          </cell>
          <cell r="R2" t="str">
            <v>51302119620711045344</v>
          </cell>
          <cell r="S2" t="str">
            <v>肢体</v>
          </cell>
          <cell r="T2" t="str">
            <v>四级</v>
          </cell>
          <cell r="U2" t="str">
            <v>肢体四级;</v>
          </cell>
        </row>
        <row r="3">
          <cell r="B3" t="str">
            <v>513021196409210452</v>
          </cell>
          <cell r="C3" t="str">
            <v>男</v>
          </cell>
          <cell r="D3" t="str">
            <v>汉族</v>
          </cell>
          <cell r="E3" t="str">
            <v>小学</v>
          </cell>
          <cell r="F3" t="str">
            <v>未婚</v>
          </cell>
          <cell r="G3" t="str">
            <v>农业</v>
          </cell>
        </row>
        <row r="3">
          <cell r="I3" t="str">
            <v>15908482365</v>
          </cell>
          <cell r="J3" t="str">
            <v>石板街道</v>
          </cell>
          <cell r="K3" t="str">
            <v>关渡村</v>
          </cell>
          <cell r="L3" t="str">
            <v>四川省达州市达川区石板街道关渡村4组</v>
          </cell>
          <cell r="M3" t="str">
            <v>四川省达州市达川区石板街道关渡村4组</v>
          </cell>
          <cell r="N3" t="str">
            <v>王元弟</v>
          </cell>
          <cell r="O3" t="str">
            <v>兄/弟/姐/妹</v>
          </cell>
        </row>
        <row r="3">
          <cell r="Q3" t="str">
            <v>15908482365</v>
          </cell>
          <cell r="R3" t="str">
            <v>51302119640921045221</v>
          </cell>
          <cell r="S3" t="str">
            <v>听力</v>
          </cell>
          <cell r="T3" t="str">
            <v>一级</v>
          </cell>
          <cell r="U3" t="str">
            <v>听力一级;</v>
          </cell>
        </row>
        <row r="4">
          <cell r="B4" t="str">
            <v>513021196807060445</v>
          </cell>
          <cell r="C4" t="str">
            <v>女</v>
          </cell>
          <cell r="D4" t="str">
            <v>汉族</v>
          </cell>
          <cell r="E4" t="str">
            <v>初中</v>
          </cell>
          <cell r="F4" t="str">
            <v>已婚</v>
          </cell>
          <cell r="G4" t="str">
            <v>农业</v>
          </cell>
        </row>
        <row r="4">
          <cell r="I4" t="str">
            <v>13183507673</v>
          </cell>
          <cell r="J4" t="str">
            <v>石板街道</v>
          </cell>
          <cell r="K4" t="str">
            <v>关渡村</v>
          </cell>
          <cell r="L4" t="str">
            <v>四川省达州市达川区石板镇关渡村8组</v>
          </cell>
          <cell r="M4" t="str">
            <v>四川省达县石板镇关渡村8组</v>
          </cell>
          <cell r="N4" t="str">
            <v>李康生</v>
          </cell>
          <cell r="O4" t="str">
            <v>配偶</v>
          </cell>
        </row>
        <row r="4">
          <cell r="R4" t="str">
            <v>51302119680706044514B1</v>
          </cell>
          <cell r="S4" t="str">
            <v>视力</v>
          </cell>
          <cell r="T4" t="str">
            <v>四级</v>
          </cell>
          <cell r="U4" t="str">
            <v>视力四级;</v>
          </cell>
        </row>
        <row r="5">
          <cell r="B5" t="str">
            <v>513021196206200457</v>
          </cell>
          <cell r="C5" t="str">
            <v>男</v>
          </cell>
          <cell r="D5" t="str">
            <v>汉族</v>
          </cell>
          <cell r="E5" t="str">
            <v>文盲</v>
          </cell>
          <cell r="F5" t="str">
            <v>未婚</v>
          </cell>
          <cell r="G5" t="str">
            <v>农业</v>
          </cell>
        </row>
        <row r="5">
          <cell r="I5" t="str">
            <v>18381808913</v>
          </cell>
          <cell r="J5" t="str">
            <v>石板街道</v>
          </cell>
          <cell r="K5" t="str">
            <v>关渡村</v>
          </cell>
          <cell r="L5" t="str">
            <v>四川省达州市达川区石板街道关渡村4组</v>
          </cell>
          <cell r="M5" t="str">
            <v>四川省达州市达川区石板街道关渡村4组</v>
          </cell>
          <cell r="N5" t="str">
            <v>王元兵</v>
          </cell>
          <cell r="O5" t="str">
            <v>兄/弟/姐/妹</v>
          </cell>
        </row>
        <row r="5">
          <cell r="R5" t="str">
            <v>51302119620620045732</v>
          </cell>
          <cell r="S5" t="str">
            <v>言语</v>
          </cell>
          <cell r="T5" t="str">
            <v>二级</v>
          </cell>
          <cell r="U5" t="str">
            <v>言语二级;</v>
          </cell>
        </row>
        <row r="6">
          <cell r="B6" t="str">
            <v>513021197011010455</v>
          </cell>
          <cell r="C6" t="str">
            <v>男</v>
          </cell>
          <cell r="D6" t="str">
            <v>汉族</v>
          </cell>
          <cell r="E6" t="str">
            <v>文盲</v>
          </cell>
          <cell r="F6" t="str">
            <v>未婚</v>
          </cell>
          <cell r="G6" t="str">
            <v>农业</v>
          </cell>
        </row>
        <row r="6">
          <cell r="I6" t="str">
            <v>15983882200</v>
          </cell>
          <cell r="J6" t="str">
            <v>石板街道</v>
          </cell>
          <cell r="K6" t="str">
            <v>关渡村</v>
          </cell>
          <cell r="L6" t="str">
            <v>四川省达州市达川区石板镇关渡村2组</v>
          </cell>
          <cell r="M6" t="str">
            <v>四川省达州市达川区石板镇关渡村2组</v>
          </cell>
          <cell r="N6" t="str">
            <v>岳术云</v>
          </cell>
          <cell r="O6" t="str">
            <v>父母</v>
          </cell>
        </row>
        <row r="6">
          <cell r="Q6" t="str">
            <v>15983882200</v>
          </cell>
          <cell r="R6" t="str">
            <v>51302119701101045512</v>
          </cell>
          <cell r="S6" t="str">
            <v>视力</v>
          </cell>
          <cell r="T6" t="str">
            <v>二级</v>
          </cell>
          <cell r="U6" t="str">
            <v>视力二级;</v>
          </cell>
        </row>
        <row r="7">
          <cell r="B7" t="str">
            <v>513021196802290452</v>
          </cell>
          <cell r="C7" t="str">
            <v>男</v>
          </cell>
          <cell r="D7" t="str">
            <v>汉族</v>
          </cell>
          <cell r="E7" t="str">
            <v>小学</v>
          </cell>
          <cell r="F7" t="str">
            <v>未婚</v>
          </cell>
          <cell r="G7" t="str">
            <v>农业</v>
          </cell>
        </row>
        <row r="7">
          <cell r="I7" t="str">
            <v>15180804726</v>
          </cell>
          <cell r="J7" t="str">
            <v>石板街道</v>
          </cell>
          <cell r="K7" t="str">
            <v>关渡村</v>
          </cell>
          <cell r="L7" t="str">
            <v>四川省达州市达川区石板镇长青村8组３２５号</v>
          </cell>
          <cell r="M7" t="str">
            <v>四川省达州市达川区石板镇长青村8组３２５号</v>
          </cell>
        </row>
        <row r="7">
          <cell r="R7" t="str">
            <v>51302119680229045244</v>
          </cell>
          <cell r="S7" t="str">
            <v>肢体</v>
          </cell>
          <cell r="T7" t="str">
            <v>四级</v>
          </cell>
          <cell r="U7" t="str">
            <v>肢体四级;</v>
          </cell>
        </row>
        <row r="8">
          <cell r="B8" t="str">
            <v>513021196806200450</v>
          </cell>
          <cell r="C8" t="str">
            <v>男</v>
          </cell>
          <cell r="D8" t="str">
            <v>汉族</v>
          </cell>
          <cell r="E8" t="str">
            <v>小学</v>
          </cell>
          <cell r="F8" t="str">
            <v>已婚</v>
          </cell>
          <cell r="G8" t="str">
            <v>农业</v>
          </cell>
        </row>
        <row r="8">
          <cell r="I8" t="str">
            <v>18381808913</v>
          </cell>
          <cell r="J8" t="str">
            <v>石板街道</v>
          </cell>
          <cell r="K8" t="str">
            <v>关渡村</v>
          </cell>
          <cell r="L8" t="str">
            <v>四川省达州市达川区石板街道关渡村4组</v>
          </cell>
          <cell r="M8" t="str">
            <v>四川省达州市达川区石板街道关渡村4组</v>
          </cell>
          <cell r="N8" t="str">
            <v>米元莲</v>
          </cell>
          <cell r="O8" t="str">
            <v>配偶</v>
          </cell>
        </row>
        <row r="8">
          <cell r="R8" t="str">
            <v>51302119680620045022</v>
          </cell>
          <cell r="S8" t="str">
            <v>听力</v>
          </cell>
          <cell r="T8" t="str">
            <v>二级</v>
          </cell>
          <cell r="U8" t="str">
            <v>听力二级;</v>
          </cell>
        </row>
        <row r="9">
          <cell r="B9" t="str">
            <v>513021198309270449</v>
          </cell>
          <cell r="C9" t="str">
            <v>女</v>
          </cell>
          <cell r="D9" t="str">
            <v>汉族</v>
          </cell>
          <cell r="E9" t="str">
            <v>初中</v>
          </cell>
          <cell r="F9" t="str">
            <v>已婚</v>
          </cell>
          <cell r="G9" t="str">
            <v>农业</v>
          </cell>
        </row>
        <row r="9">
          <cell r="J9" t="str">
            <v>石板街道</v>
          </cell>
          <cell r="K9" t="str">
            <v>关渡村</v>
          </cell>
          <cell r="L9" t="str">
            <v>四川省达县石板镇长青村2组</v>
          </cell>
          <cell r="M9" t="str">
            <v>四川省达县石板镇长青村2组</v>
          </cell>
          <cell r="N9" t="str">
            <v>叶中国</v>
          </cell>
          <cell r="O9" t="str">
            <v>配偶</v>
          </cell>
        </row>
        <row r="9">
          <cell r="R9" t="str">
            <v>51302119830927044944</v>
          </cell>
          <cell r="S9" t="str">
            <v>肢体</v>
          </cell>
          <cell r="T9" t="str">
            <v>四级</v>
          </cell>
          <cell r="U9" t="str">
            <v>肢体四级;</v>
          </cell>
        </row>
        <row r="10">
          <cell r="B10" t="str">
            <v>513021197203040456</v>
          </cell>
          <cell r="C10" t="str">
            <v>男</v>
          </cell>
          <cell r="D10" t="str">
            <v>汉族</v>
          </cell>
          <cell r="E10" t="str">
            <v>初中</v>
          </cell>
          <cell r="F10" t="str">
            <v>未婚</v>
          </cell>
          <cell r="G10" t="str">
            <v>农业</v>
          </cell>
        </row>
        <row r="10">
          <cell r="I10" t="str">
            <v>5305642</v>
          </cell>
          <cell r="J10" t="str">
            <v>石板街道</v>
          </cell>
          <cell r="K10" t="str">
            <v>关渡村</v>
          </cell>
          <cell r="L10" t="str">
            <v>四川省达县石板镇长青村２组</v>
          </cell>
          <cell r="M10" t="str">
            <v>四川省达县石板镇长青村２组</v>
          </cell>
          <cell r="N10" t="str">
            <v>程伦娟</v>
          </cell>
          <cell r="O10" t="str">
            <v>配偶</v>
          </cell>
        </row>
        <row r="10">
          <cell r="Q10" t="str">
            <v>5305642</v>
          </cell>
          <cell r="R10" t="str">
            <v>51302119720304045614</v>
          </cell>
          <cell r="S10" t="str">
            <v>视力</v>
          </cell>
          <cell r="T10" t="str">
            <v>四级</v>
          </cell>
          <cell r="U10" t="str">
            <v>视力四级;</v>
          </cell>
        </row>
        <row r="11">
          <cell r="B11" t="str">
            <v>513021197211271684</v>
          </cell>
          <cell r="C11" t="str">
            <v>女</v>
          </cell>
          <cell r="D11" t="str">
            <v>汉族</v>
          </cell>
          <cell r="E11" t="str">
            <v>初中</v>
          </cell>
          <cell r="F11" t="str">
            <v>已婚</v>
          </cell>
          <cell r="G11" t="str">
            <v>农业</v>
          </cell>
        </row>
        <row r="11">
          <cell r="I11" t="str">
            <v>5305642</v>
          </cell>
          <cell r="J11" t="str">
            <v>石板街道</v>
          </cell>
          <cell r="K11" t="str">
            <v>关渡村</v>
          </cell>
          <cell r="L11" t="str">
            <v>四川省达县石板镇长青村2组</v>
          </cell>
          <cell r="M11" t="str">
            <v>四川省达县石板镇长青村2组</v>
          </cell>
          <cell r="N11" t="str">
            <v>刘贵</v>
          </cell>
          <cell r="O11" t="str">
            <v>配偶</v>
          </cell>
        </row>
        <row r="11">
          <cell r="Q11" t="str">
            <v>5305642</v>
          </cell>
          <cell r="R11" t="str">
            <v>51302119721127168414</v>
          </cell>
          <cell r="S11" t="str">
            <v>视力</v>
          </cell>
          <cell r="T11" t="str">
            <v>四级</v>
          </cell>
          <cell r="U11" t="str">
            <v>视力四级;</v>
          </cell>
        </row>
        <row r="12">
          <cell r="B12" t="str">
            <v>513021197307210456</v>
          </cell>
          <cell r="C12" t="str">
            <v>男</v>
          </cell>
          <cell r="D12" t="str">
            <v>汉族</v>
          </cell>
          <cell r="E12" t="str">
            <v>初中</v>
          </cell>
          <cell r="F12" t="str">
            <v>已婚</v>
          </cell>
          <cell r="G12" t="str">
            <v>农业</v>
          </cell>
        </row>
        <row r="12">
          <cell r="I12" t="str">
            <v>15388383953</v>
          </cell>
          <cell r="J12" t="str">
            <v>石板街道</v>
          </cell>
          <cell r="K12" t="str">
            <v>关渡村</v>
          </cell>
          <cell r="L12" t="str">
            <v>四川省达州市达川区石板镇长青村5组</v>
          </cell>
          <cell r="M12" t="str">
            <v>四川省达州市达川区石板镇长青村5组</v>
          </cell>
          <cell r="N12" t="str">
            <v>谢学容</v>
          </cell>
          <cell r="O12" t="str">
            <v>配偶</v>
          </cell>
        </row>
        <row r="12">
          <cell r="R12" t="str">
            <v>51302119730721045644</v>
          </cell>
          <cell r="S12" t="str">
            <v>肢体</v>
          </cell>
          <cell r="T12" t="str">
            <v>四级</v>
          </cell>
          <cell r="U12" t="str">
            <v>肢体四级;</v>
          </cell>
        </row>
        <row r="13">
          <cell r="B13" t="str">
            <v>513021195601040444</v>
          </cell>
          <cell r="C13" t="str">
            <v>女</v>
          </cell>
          <cell r="D13" t="str">
            <v>汉族</v>
          </cell>
          <cell r="E13" t="str">
            <v>小学</v>
          </cell>
          <cell r="F13" t="str">
            <v>已婚</v>
          </cell>
          <cell r="G13" t="str">
            <v>农业</v>
          </cell>
        </row>
        <row r="13">
          <cell r="I13" t="str">
            <v>18282971909</v>
          </cell>
          <cell r="J13" t="str">
            <v>石板街道</v>
          </cell>
          <cell r="K13" t="str">
            <v>关渡村</v>
          </cell>
          <cell r="L13" t="str">
            <v>四川省达州市达川区石板镇关渡村1组</v>
          </cell>
          <cell r="M13" t="str">
            <v>四川省达州市达川区石板镇关渡村1组</v>
          </cell>
          <cell r="N13" t="str">
            <v>汤传荣</v>
          </cell>
          <cell r="O13" t="str">
            <v>配偶</v>
          </cell>
        </row>
        <row r="13">
          <cell r="R13" t="str">
            <v>51302119560104044444</v>
          </cell>
          <cell r="S13" t="str">
            <v>肢体</v>
          </cell>
          <cell r="T13" t="str">
            <v>四级</v>
          </cell>
          <cell r="U13" t="str">
            <v>肢体四级;</v>
          </cell>
        </row>
        <row r="14">
          <cell r="B14" t="str">
            <v>513021194707050451</v>
          </cell>
          <cell r="C14" t="str">
            <v>男</v>
          </cell>
          <cell r="D14" t="str">
            <v>汉族</v>
          </cell>
          <cell r="E14" t="str">
            <v>文盲</v>
          </cell>
          <cell r="F14" t="str">
            <v>未婚</v>
          </cell>
          <cell r="G14" t="str">
            <v>农业</v>
          </cell>
        </row>
        <row r="14">
          <cell r="I14" t="str">
            <v>15583759212</v>
          </cell>
          <cell r="J14" t="str">
            <v>石板街道</v>
          </cell>
          <cell r="K14" t="str">
            <v>关渡村</v>
          </cell>
          <cell r="L14" t="str">
            <v>四川省达州市达川区石板街道关渡村4组</v>
          </cell>
          <cell r="M14" t="str">
            <v>四川省达州市达川区石板街道关渡村4组</v>
          </cell>
        </row>
        <row r="14">
          <cell r="O14" t="str">
            <v>其他</v>
          </cell>
        </row>
        <row r="14">
          <cell r="R14" t="str">
            <v>51302119470705045122</v>
          </cell>
          <cell r="S14" t="str">
            <v>听力</v>
          </cell>
          <cell r="T14" t="str">
            <v>二级</v>
          </cell>
          <cell r="U14" t="str">
            <v>听力二级;</v>
          </cell>
        </row>
        <row r="15">
          <cell r="B15" t="str">
            <v>513021195104160453</v>
          </cell>
          <cell r="C15" t="str">
            <v>男</v>
          </cell>
          <cell r="D15" t="str">
            <v>汉族</v>
          </cell>
          <cell r="E15" t="str">
            <v>文盲</v>
          </cell>
          <cell r="F15" t="str">
            <v>已婚</v>
          </cell>
          <cell r="G15" t="str">
            <v>农业</v>
          </cell>
        </row>
        <row r="15">
          <cell r="I15" t="str">
            <v>13989168907</v>
          </cell>
          <cell r="J15" t="str">
            <v>石板街道</v>
          </cell>
          <cell r="K15" t="str">
            <v>关渡村</v>
          </cell>
          <cell r="L15" t="str">
            <v>四川省达州市达川区石板镇关渡村2组</v>
          </cell>
          <cell r="M15" t="str">
            <v>四川省达县石板镇关渡村2组</v>
          </cell>
          <cell r="N15" t="str">
            <v>刘继碧</v>
          </cell>
          <cell r="O15" t="str">
            <v>配偶</v>
          </cell>
        </row>
        <row r="15">
          <cell r="R15" t="str">
            <v>51302119510416045313</v>
          </cell>
          <cell r="S15" t="str">
            <v>视力</v>
          </cell>
          <cell r="T15" t="str">
            <v>三级</v>
          </cell>
          <cell r="U15" t="str">
            <v>视力三级;</v>
          </cell>
        </row>
        <row r="16">
          <cell r="B16" t="str">
            <v>51302119700228047X</v>
          </cell>
          <cell r="C16" t="str">
            <v>男</v>
          </cell>
          <cell r="D16" t="str">
            <v>汉族</v>
          </cell>
          <cell r="E16" t="str">
            <v>小学</v>
          </cell>
          <cell r="F16" t="str">
            <v>已婚</v>
          </cell>
          <cell r="G16" t="str">
            <v>农业</v>
          </cell>
        </row>
        <row r="16">
          <cell r="I16" t="str">
            <v>15908482365</v>
          </cell>
          <cell r="J16" t="str">
            <v>石板街道</v>
          </cell>
          <cell r="K16" t="str">
            <v>关渡村</v>
          </cell>
          <cell r="L16" t="str">
            <v>四川省达州市达川区石板镇关渡村7组</v>
          </cell>
          <cell r="M16" t="str">
            <v>四川省达州市达川区石板镇关渡村7组</v>
          </cell>
          <cell r="N16" t="str">
            <v>蒋兴师动众敏</v>
          </cell>
          <cell r="O16" t="str">
            <v>配偶</v>
          </cell>
        </row>
        <row r="16">
          <cell r="R16" t="str">
            <v>51302119700228047X21</v>
          </cell>
          <cell r="S16" t="str">
            <v>听力</v>
          </cell>
          <cell r="T16" t="str">
            <v>一级</v>
          </cell>
          <cell r="U16" t="str">
            <v>听力一级;</v>
          </cell>
        </row>
        <row r="17">
          <cell r="B17" t="str">
            <v>513021195601020451</v>
          </cell>
          <cell r="C17" t="str">
            <v>男</v>
          </cell>
          <cell r="D17" t="str">
            <v>汉族</v>
          </cell>
          <cell r="E17" t="str">
            <v>文盲</v>
          </cell>
          <cell r="F17" t="str">
            <v>已婚</v>
          </cell>
          <cell r="G17" t="str">
            <v>农业</v>
          </cell>
        </row>
        <row r="17">
          <cell r="I17" t="str">
            <v>18982809894</v>
          </cell>
          <cell r="J17" t="str">
            <v>石板街道</v>
          </cell>
          <cell r="K17" t="str">
            <v>关渡村</v>
          </cell>
          <cell r="L17" t="str">
            <v>四川省达州市达川区石板镇关渡村1组</v>
          </cell>
          <cell r="M17" t="str">
            <v>四川省达州市达川区石板镇关渡村1组</v>
          </cell>
        </row>
        <row r="17">
          <cell r="R17" t="str">
            <v>51302119560102045144</v>
          </cell>
          <cell r="S17" t="str">
            <v>肢体</v>
          </cell>
          <cell r="T17" t="str">
            <v>四级</v>
          </cell>
          <cell r="U17" t="str">
            <v>肢体四级;</v>
          </cell>
        </row>
        <row r="18">
          <cell r="B18" t="str">
            <v>513021196807040444</v>
          </cell>
          <cell r="C18" t="str">
            <v>女</v>
          </cell>
          <cell r="D18" t="str">
            <v>汉族</v>
          </cell>
          <cell r="E18" t="str">
            <v>小学</v>
          </cell>
          <cell r="F18" t="str">
            <v>已婚</v>
          </cell>
          <cell r="G18" t="str">
            <v>农业</v>
          </cell>
        </row>
        <row r="18">
          <cell r="I18" t="str">
            <v>13541377149</v>
          </cell>
          <cell r="J18" t="str">
            <v>石板街道</v>
          </cell>
          <cell r="K18" t="str">
            <v>关渡村</v>
          </cell>
          <cell r="L18" t="str">
            <v>四川省达州市达川区石板街道关渡村4组</v>
          </cell>
          <cell r="M18" t="str">
            <v>四川省达州市达川区石板街道关渡村4组</v>
          </cell>
          <cell r="N18" t="str">
            <v>陈明革</v>
          </cell>
          <cell r="O18" t="str">
            <v>配偶</v>
          </cell>
        </row>
        <row r="18">
          <cell r="R18" t="str">
            <v>51302119680704044444</v>
          </cell>
          <cell r="S18" t="str">
            <v>肢体</v>
          </cell>
          <cell r="T18" t="str">
            <v>四级</v>
          </cell>
          <cell r="U18" t="str">
            <v>肢体四级;</v>
          </cell>
        </row>
        <row r="19">
          <cell r="B19" t="str">
            <v>513021198007170450</v>
          </cell>
          <cell r="C19" t="str">
            <v>男</v>
          </cell>
          <cell r="D19" t="str">
            <v>汉族</v>
          </cell>
          <cell r="E19" t="str">
            <v>初中</v>
          </cell>
          <cell r="F19" t="str">
            <v>已婚</v>
          </cell>
          <cell r="G19" t="str">
            <v>农业</v>
          </cell>
        </row>
        <row r="19">
          <cell r="I19" t="str">
            <v>000000</v>
          </cell>
          <cell r="J19" t="str">
            <v>石板街道</v>
          </cell>
          <cell r="K19" t="str">
            <v>关渡村</v>
          </cell>
          <cell r="L19" t="str">
            <v>四川省达县石板镇关渡村2组</v>
          </cell>
          <cell r="M19" t="str">
            <v>四川省达县石板镇关渡村2组</v>
          </cell>
        </row>
        <row r="19">
          <cell r="R19" t="str">
            <v>51302119800717045044</v>
          </cell>
          <cell r="S19" t="str">
            <v>肢体</v>
          </cell>
          <cell r="T19" t="str">
            <v>四级</v>
          </cell>
          <cell r="U19" t="str">
            <v>肢体四级;</v>
          </cell>
        </row>
        <row r="20">
          <cell r="B20" t="str">
            <v>513021195504020492</v>
          </cell>
          <cell r="C20" t="str">
            <v>男</v>
          </cell>
          <cell r="D20" t="str">
            <v>汉族</v>
          </cell>
          <cell r="E20" t="str">
            <v>高中</v>
          </cell>
          <cell r="F20" t="str">
            <v>已婚</v>
          </cell>
          <cell r="G20" t="str">
            <v>农业</v>
          </cell>
        </row>
        <row r="20">
          <cell r="I20" t="str">
            <v>15928258532</v>
          </cell>
          <cell r="J20" t="str">
            <v>石板街道</v>
          </cell>
          <cell r="K20" t="str">
            <v>关渡村</v>
          </cell>
          <cell r="L20" t="str">
            <v>四川省达州市达川区石板镇关渡村5组</v>
          </cell>
          <cell r="M20" t="str">
            <v>四川省达县石板镇关渡村5组</v>
          </cell>
          <cell r="N20" t="str">
            <v>潘明兰</v>
          </cell>
          <cell r="O20" t="str">
            <v>配偶</v>
          </cell>
        </row>
        <row r="20">
          <cell r="R20" t="str">
            <v>51302119550402049243</v>
          </cell>
          <cell r="S20" t="str">
            <v>肢体</v>
          </cell>
          <cell r="T20" t="str">
            <v>三级</v>
          </cell>
          <cell r="U20" t="str">
            <v>肢体三级;</v>
          </cell>
        </row>
        <row r="21">
          <cell r="B21" t="str">
            <v>513021196909100452</v>
          </cell>
          <cell r="C21" t="str">
            <v>男</v>
          </cell>
          <cell r="D21" t="str">
            <v>汉族</v>
          </cell>
          <cell r="E21" t="str">
            <v>初中</v>
          </cell>
          <cell r="F21" t="str">
            <v>未婚</v>
          </cell>
          <cell r="G21" t="str">
            <v>农业</v>
          </cell>
        </row>
        <row r="21">
          <cell r="I21" t="str">
            <v>15681878188</v>
          </cell>
          <cell r="J21" t="str">
            <v>石板街道</v>
          </cell>
          <cell r="K21" t="str">
            <v>关渡村</v>
          </cell>
          <cell r="L21" t="str">
            <v>四川省达州市达川区石板街道关渡村6组</v>
          </cell>
          <cell r="M21" t="str">
            <v>四川省达州市达川区石板街道关渡村6组</v>
          </cell>
          <cell r="N21" t="str">
            <v>白如冰</v>
          </cell>
          <cell r="O21" t="str">
            <v>父母</v>
          </cell>
        </row>
        <row r="21">
          <cell r="Q21" t="str">
            <v>13086334897</v>
          </cell>
          <cell r="R21" t="str">
            <v>51302119690910045262B1</v>
          </cell>
          <cell r="S21" t="str">
            <v>精神</v>
          </cell>
          <cell r="T21" t="str">
            <v>二级</v>
          </cell>
          <cell r="U21" t="str">
            <v>精神二级;</v>
          </cell>
        </row>
        <row r="22">
          <cell r="B22" t="str">
            <v>513021197103270457</v>
          </cell>
          <cell r="C22" t="str">
            <v>男</v>
          </cell>
          <cell r="D22" t="str">
            <v>汉族</v>
          </cell>
          <cell r="E22" t="str">
            <v>小学</v>
          </cell>
          <cell r="F22" t="str">
            <v>已婚</v>
          </cell>
          <cell r="G22" t="str">
            <v>农业</v>
          </cell>
        </row>
        <row r="22">
          <cell r="I22" t="str">
            <v>13016687788</v>
          </cell>
          <cell r="J22" t="str">
            <v>石板街道</v>
          </cell>
          <cell r="K22" t="str">
            <v>关渡村</v>
          </cell>
          <cell r="L22" t="str">
            <v>四川省达州市达川区石板镇关渡村5组</v>
          </cell>
          <cell r="M22" t="str">
            <v>四川省达州市达川区石板镇关渡村5组</v>
          </cell>
          <cell r="N22" t="str">
            <v>唐发翠</v>
          </cell>
          <cell r="O22" t="str">
            <v>配偶</v>
          </cell>
        </row>
        <row r="22">
          <cell r="R22" t="str">
            <v>51302119710327045744</v>
          </cell>
          <cell r="S22" t="str">
            <v>肢体</v>
          </cell>
          <cell r="T22" t="str">
            <v>四级</v>
          </cell>
          <cell r="U22" t="str">
            <v>肢体四级;</v>
          </cell>
        </row>
        <row r="23">
          <cell r="B23" t="str">
            <v>513021198709050453</v>
          </cell>
          <cell r="C23" t="str">
            <v>男</v>
          </cell>
          <cell r="D23" t="str">
            <v>汉族</v>
          </cell>
          <cell r="E23" t="str">
            <v>小学</v>
          </cell>
          <cell r="F23" t="str">
            <v>未婚</v>
          </cell>
          <cell r="G23" t="str">
            <v>农业</v>
          </cell>
        </row>
        <row r="23">
          <cell r="I23" t="str">
            <v>13882866287</v>
          </cell>
          <cell r="J23" t="str">
            <v>石板街道</v>
          </cell>
          <cell r="K23" t="str">
            <v>关渡村</v>
          </cell>
          <cell r="L23" t="str">
            <v>四川省达州市达川区石板镇关渡村2组</v>
          </cell>
          <cell r="M23" t="str">
            <v>四川省达州市达川区石板镇关渡村2组</v>
          </cell>
          <cell r="N23" t="str">
            <v>何刚建</v>
          </cell>
          <cell r="O23" t="str">
            <v>父母</v>
          </cell>
        </row>
        <row r="23">
          <cell r="R23" t="str">
            <v>51302119870905045344</v>
          </cell>
          <cell r="S23" t="str">
            <v>肢体</v>
          </cell>
          <cell r="T23" t="str">
            <v>四级</v>
          </cell>
          <cell r="U23" t="str">
            <v>肢体四级;</v>
          </cell>
        </row>
        <row r="24">
          <cell r="B24" t="str">
            <v>513021197206230458</v>
          </cell>
          <cell r="C24" t="str">
            <v>男</v>
          </cell>
          <cell r="D24" t="str">
            <v>汉族</v>
          </cell>
          <cell r="E24" t="str">
            <v>初中</v>
          </cell>
          <cell r="F24" t="str">
            <v>已婚</v>
          </cell>
          <cell r="G24" t="str">
            <v>农业</v>
          </cell>
        </row>
        <row r="24">
          <cell r="I24" t="str">
            <v>000000000</v>
          </cell>
          <cell r="J24" t="str">
            <v>石板街道</v>
          </cell>
          <cell r="K24" t="str">
            <v>关渡村</v>
          </cell>
          <cell r="L24" t="str">
            <v>四川省达州市达川区石板镇关渡村5组</v>
          </cell>
          <cell r="M24" t="str">
            <v>四川省达州市达川区石板镇关渡村5组</v>
          </cell>
        </row>
        <row r="24">
          <cell r="R24" t="str">
            <v>51302119720623045844</v>
          </cell>
          <cell r="S24" t="str">
            <v>肢体</v>
          </cell>
          <cell r="T24" t="str">
            <v>四级</v>
          </cell>
          <cell r="U24" t="str">
            <v>肢体四级;</v>
          </cell>
        </row>
        <row r="25">
          <cell r="B25" t="str">
            <v>513021195205110455</v>
          </cell>
          <cell r="C25" t="str">
            <v>男</v>
          </cell>
          <cell r="D25" t="str">
            <v>汉族</v>
          </cell>
          <cell r="E25" t="str">
            <v>小学</v>
          </cell>
          <cell r="F25" t="str">
            <v>已婚</v>
          </cell>
          <cell r="G25" t="str">
            <v>非农业</v>
          </cell>
        </row>
        <row r="25">
          <cell r="I25" t="str">
            <v>18281815072</v>
          </cell>
          <cell r="J25" t="str">
            <v>石板街道</v>
          </cell>
          <cell r="K25" t="str">
            <v>关渡村</v>
          </cell>
          <cell r="L25" t="str">
            <v>四川省达州市达川区石板镇政府街600号</v>
          </cell>
          <cell r="M25" t="str">
            <v>四川省达州市达川区石板镇政府街600号</v>
          </cell>
          <cell r="N25" t="str">
            <v>陈正杰</v>
          </cell>
          <cell r="O25" t="str">
            <v>配偶</v>
          </cell>
        </row>
        <row r="25">
          <cell r="R25" t="str">
            <v>51302119520511045514</v>
          </cell>
          <cell r="S25" t="str">
            <v>视力</v>
          </cell>
          <cell r="T25" t="str">
            <v>四级</v>
          </cell>
          <cell r="U25" t="str">
            <v>视力四级;</v>
          </cell>
        </row>
        <row r="26">
          <cell r="B26" t="str">
            <v>513021196607150446</v>
          </cell>
          <cell r="C26" t="str">
            <v>女</v>
          </cell>
          <cell r="D26" t="str">
            <v>汉族</v>
          </cell>
          <cell r="E26" t="str">
            <v>初中</v>
          </cell>
          <cell r="F26" t="str">
            <v>已婚</v>
          </cell>
          <cell r="G26" t="str">
            <v>农业</v>
          </cell>
        </row>
        <row r="26">
          <cell r="I26" t="str">
            <v>15281084526</v>
          </cell>
          <cell r="J26" t="str">
            <v>石板街道</v>
          </cell>
          <cell r="K26" t="str">
            <v>关渡村</v>
          </cell>
          <cell r="L26" t="str">
            <v>四川省达州市达川区石板镇关渡村2组</v>
          </cell>
          <cell r="M26" t="str">
            <v>四川省达州市达川区石板镇关渡村2组</v>
          </cell>
          <cell r="N26" t="str">
            <v>冯宗朝</v>
          </cell>
          <cell r="O26" t="str">
            <v>配偶</v>
          </cell>
        </row>
        <row r="26">
          <cell r="R26" t="str">
            <v>51302119660715044644</v>
          </cell>
          <cell r="S26" t="str">
            <v>肢体</v>
          </cell>
          <cell r="T26" t="str">
            <v>四级</v>
          </cell>
          <cell r="U26" t="str">
            <v>肢体四级;</v>
          </cell>
        </row>
        <row r="27">
          <cell r="B27" t="str">
            <v>513021196402170451</v>
          </cell>
          <cell r="C27" t="str">
            <v>男</v>
          </cell>
          <cell r="D27" t="str">
            <v>汉族</v>
          </cell>
          <cell r="E27" t="str">
            <v>小学</v>
          </cell>
          <cell r="F27" t="str">
            <v>已婚</v>
          </cell>
          <cell r="G27" t="str">
            <v>农业</v>
          </cell>
        </row>
        <row r="27">
          <cell r="I27" t="str">
            <v>15328957074</v>
          </cell>
          <cell r="J27" t="str">
            <v>石板街道</v>
          </cell>
          <cell r="K27" t="str">
            <v>关渡村</v>
          </cell>
          <cell r="L27" t="str">
            <v>四川省达州市达川区石板镇关渡村1组</v>
          </cell>
          <cell r="M27" t="str">
            <v>四川省达州市达川区石板镇关渡村1组</v>
          </cell>
          <cell r="N27" t="str">
            <v>郑仕英</v>
          </cell>
          <cell r="O27" t="str">
            <v>配偶</v>
          </cell>
        </row>
        <row r="27">
          <cell r="R27" t="str">
            <v>51302119640217045144</v>
          </cell>
          <cell r="S27" t="str">
            <v>肢体</v>
          </cell>
          <cell r="T27" t="str">
            <v>四级</v>
          </cell>
          <cell r="U27" t="str">
            <v>肢体四级;</v>
          </cell>
        </row>
        <row r="28">
          <cell r="B28" t="str">
            <v>513021197303260456</v>
          </cell>
          <cell r="C28" t="str">
            <v>男</v>
          </cell>
          <cell r="D28" t="str">
            <v>汉族</v>
          </cell>
          <cell r="E28" t="str">
            <v>小学</v>
          </cell>
          <cell r="F28" t="str">
            <v>已婚</v>
          </cell>
          <cell r="G28" t="str">
            <v>农业</v>
          </cell>
        </row>
        <row r="28">
          <cell r="I28" t="str">
            <v>13711721695</v>
          </cell>
          <cell r="J28" t="str">
            <v>石板街道</v>
          </cell>
          <cell r="K28" t="str">
            <v>关渡村</v>
          </cell>
          <cell r="L28" t="str">
            <v>四川省达州市达川区石板镇关渡村1组</v>
          </cell>
          <cell r="M28" t="str">
            <v>四川省达州市达川区石板镇关渡村1组</v>
          </cell>
          <cell r="N28" t="str">
            <v>徐梅</v>
          </cell>
          <cell r="O28" t="str">
            <v>配偶</v>
          </cell>
        </row>
        <row r="28">
          <cell r="R28" t="str">
            <v>51302119730326045644</v>
          </cell>
          <cell r="S28" t="str">
            <v>肢体</v>
          </cell>
          <cell r="T28" t="str">
            <v>四级</v>
          </cell>
          <cell r="U28" t="str">
            <v>肢体四级;</v>
          </cell>
        </row>
        <row r="29">
          <cell r="B29" t="str">
            <v>513021194807180456</v>
          </cell>
          <cell r="C29" t="str">
            <v>男</v>
          </cell>
          <cell r="D29" t="str">
            <v>汉族</v>
          </cell>
          <cell r="E29" t="str">
            <v>小学</v>
          </cell>
          <cell r="F29" t="str">
            <v>已婚</v>
          </cell>
          <cell r="G29" t="str">
            <v>农业</v>
          </cell>
        </row>
        <row r="29">
          <cell r="I29" t="str">
            <v>15882941159</v>
          </cell>
          <cell r="J29" t="str">
            <v>石板街道</v>
          </cell>
          <cell r="K29" t="str">
            <v>关渡村</v>
          </cell>
          <cell r="L29" t="str">
            <v>四川省达州市达川区石板街道关渡村7组</v>
          </cell>
          <cell r="M29" t="str">
            <v>四川省达州市达川区石板街道关渡村7组</v>
          </cell>
          <cell r="N29" t="str">
            <v>许安珍</v>
          </cell>
          <cell r="O29" t="str">
            <v>配偶</v>
          </cell>
        </row>
        <row r="29">
          <cell r="R29" t="str">
            <v>51302119480718045644</v>
          </cell>
          <cell r="S29" t="str">
            <v>肢体</v>
          </cell>
          <cell r="T29" t="str">
            <v>四级</v>
          </cell>
          <cell r="U29" t="str">
            <v>肢体四级;</v>
          </cell>
        </row>
        <row r="30">
          <cell r="B30" t="str">
            <v>513021197405210441</v>
          </cell>
          <cell r="C30" t="str">
            <v>女</v>
          </cell>
          <cell r="D30" t="str">
            <v>汉族</v>
          </cell>
          <cell r="E30" t="str">
            <v>小学</v>
          </cell>
          <cell r="F30" t="str">
            <v>已婚</v>
          </cell>
          <cell r="G30" t="str">
            <v>农业</v>
          </cell>
        </row>
        <row r="30">
          <cell r="I30" t="str">
            <v>18398818728</v>
          </cell>
          <cell r="J30" t="str">
            <v>石板街道</v>
          </cell>
          <cell r="K30" t="str">
            <v>关渡村</v>
          </cell>
          <cell r="L30" t="str">
            <v>四川省达州市达川区石板街道关渡村5组</v>
          </cell>
          <cell r="M30" t="str">
            <v>四川省达州市达川区石板街道关渡村5组</v>
          </cell>
          <cell r="N30" t="str">
            <v>王芝均</v>
          </cell>
          <cell r="O30" t="str">
            <v>配偶</v>
          </cell>
        </row>
        <row r="30">
          <cell r="Q30" t="str">
            <v>18398818728</v>
          </cell>
          <cell r="R30" t="str">
            <v>51302119740521044154</v>
          </cell>
          <cell r="S30" t="str">
            <v>智力</v>
          </cell>
          <cell r="T30" t="str">
            <v>四级</v>
          </cell>
          <cell r="U30" t="str">
            <v>智力四级;</v>
          </cell>
        </row>
        <row r="31">
          <cell r="B31" t="str">
            <v>513021196909090469</v>
          </cell>
          <cell r="C31" t="str">
            <v>女</v>
          </cell>
          <cell r="D31" t="str">
            <v>汉族</v>
          </cell>
          <cell r="E31" t="str">
            <v>小学</v>
          </cell>
          <cell r="F31" t="str">
            <v>已婚</v>
          </cell>
          <cell r="G31" t="str">
            <v>非农业</v>
          </cell>
        </row>
        <row r="31">
          <cell r="I31" t="str">
            <v>18780840692</v>
          </cell>
          <cell r="J31" t="str">
            <v>石板街道</v>
          </cell>
          <cell r="K31" t="str">
            <v>关渡村</v>
          </cell>
          <cell r="L31" t="str">
            <v>四川省达州市达川区石板街道关渡村2组</v>
          </cell>
          <cell r="M31" t="str">
            <v>四川省达州市达川区石板街道关渡村2组</v>
          </cell>
        </row>
        <row r="31">
          <cell r="R31" t="str">
            <v>51302119690909046944</v>
          </cell>
          <cell r="S31" t="str">
            <v>肢体</v>
          </cell>
          <cell r="T31" t="str">
            <v>四级</v>
          </cell>
          <cell r="U31" t="str">
            <v>肢体四级;</v>
          </cell>
        </row>
        <row r="32">
          <cell r="B32" t="str">
            <v>513021194502030449</v>
          </cell>
          <cell r="C32" t="str">
            <v>女</v>
          </cell>
          <cell r="D32" t="str">
            <v>汉族</v>
          </cell>
          <cell r="E32" t="str">
            <v>小学</v>
          </cell>
          <cell r="F32" t="str">
            <v>已婚</v>
          </cell>
          <cell r="G32" t="str">
            <v>农业</v>
          </cell>
        </row>
        <row r="32">
          <cell r="I32" t="str">
            <v>18608242096</v>
          </cell>
          <cell r="J32" t="str">
            <v>石板街道</v>
          </cell>
          <cell r="K32" t="str">
            <v>关渡村</v>
          </cell>
          <cell r="L32" t="str">
            <v>四川省达州市达川区石板街道关渡村6组</v>
          </cell>
          <cell r="M32" t="str">
            <v>四川省达州市达川区石板街道关渡村6组</v>
          </cell>
        </row>
        <row r="32">
          <cell r="R32" t="str">
            <v>51302119450203044913</v>
          </cell>
          <cell r="S32" t="str">
            <v>视力</v>
          </cell>
          <cell r="T32" t="str">
            <v>三级</v>
          </cell>
          <cell r="U32" t="str">
            <v>视力三级;</v>
          </cell>
        </row>
        <row r="33">
          <cell r="B33" t="str">
            <v>513021197112280470</v>
          </cell>
          <cell r="C33" t="str">
            <v>男</v>
          </cell>
          <cell r="D33" t="str">
            <v>汉族</v>
          </cell>
          <cell r="E33" t="str">
            <v>小学</v>
          </cell>
          <cell r="F33" t="str">
            <v>已婚</v>
          </cell>
          <cell r="G33" t="str">
            <v>农业</v>
          </cell>
        </row>
        <row r="33">
          <cell r="I33" t="str">
            <v>00000000</v>
          </cell>
          <cell r="J33" t="str">
            <v>石板街道</v>
          </cell>
          <cell r="K33" t="str">
            <v>关渡村</v>
          </cell>
          <cell r="L33" t="str">
            <v>四川省达县石板镇长青村5组</v>
          </cell>
          <cell r="M33" t="str">
            <v>四川省达县石板镇长青村5组</v>
          </cell>
        </row>
        <row r="33">
          <cell r="R33" t="str">
            <v>51302119711228047044</v>
          </cell>
          <cell r="S33" t="str">
            <v>肢体</v>
          </cell>
          <cell r="T33" t="str">
            <v>四级</v>
          </cell>
          <cell r="U33" t="str">
            <v>肢体四级;</v>
          </cell>
        </row>
        <row r="34">
          <cell r="B34" t="str">
            <v>513021199603090451</v>
          </cell>
          <cell r="C34" t="str">
            <v>男</v>
          </cell>
          <cell r="D34" t="str">
            <v>汉族</v>
          </cell>
          <cell r="E34" t="str">
            <v>小学</v>
          </cell>
          <cell r="F34" t="str">
            <v>未婚</v>
          </cell>
          <cell r="G34" t="str">
            <v>农业</v>
          </cell>
        </row>
        <row r="34">
          <cell r="I34" t="str">
            <v>18398818728</v>
          </cell>
          <cell r="J34" t="str">
            <v>石板街道</v>
          </cell>
          <cell r="K34" t="str">
            <v>关渡村</v>
          </cell>
          <cell r="L34" t="str">
            <v>四川省达州市达川区石板街道关渡村5组</v>
          </cell>
          <cell r="M34" t="str">
            <v>四川省达州市达川区石板街道关渡村5组</v>
          </cell>
          <cell r="N34" t="str">
            <v>王芝均</v>
          </cell>
          <cell r="O34" t="str">
            <v>父母</v>
          </cell>
        </row>
        <row r="34">
          <cell r="Q34" t="str">
            <v>18398818728</v>
          </cell>
          <cell r="R34" t="str">
            <v>51302119960309045154</v>
          </cell>
          <cell r="S34" t="str">
            <v>智力</v>
          </cell>
          <cell r="T34" t="str">
            <v>四级</v>
          </cell>
          <cell r="U34" t="str">
            <v>智力四级;</v>
          </cell>
        </row>
        <row r="35">
          <cell r="B35" t="str">
            <v>513021195510100456</v>
          </cell>
          <cell r="C35" t="str">
            <v>男</v>
          </cell>
          <cell r="D35" t="str">
            <v>汉族</v>
          </cell>
          <cell r="E35" t="str">
            <v>小学</v>
          </cell>
          <cell r="F35" t="str">
            <v>已婚</v>
          </cell>
          <cell r="G35" t="str">
            <v>农业</v>
          </cell>
        </row>
        <row r="35">
          <cell r="J35" t="str">
            <v>石板街道</v>
          </cell>
          <cell r="K35" t="str">
            <v>关渡村</v>
          </cell>
          <cell r="L35" t="str">
            <v>四川省达县石板镇关渡村8组</v>
          </cell>
          <cell r="M35" t="str">
            <v>四川省达县石板镇关渡村8组</v>
          </cell>
          <cell r="N35" t="str">
            <v>王元淑</v>
          </cell>
          <cell r="O35" t="str">
            <v>配偶</v>
          </cell>
        </row>
        <row r="35">
          <cell r="R35" t="str">
            <v>51302119551010045614B1</v>
          </cell>
          <cell r="S35" t="str">
            <v>视力</v>
          </cell>
          <cell r="T35" t="str">
            <v>四级</v>
          </cell>
          <cell r="U35" t="str">
            <v>视力四级;</v>
          </cell>
        </row>
        <row r="36">
          <cell r="B36" t="str">
            <v>513021194010110442</v>
          </cell>
          <cell r="C36" t="str">
            <v>女</v>
          </cell>
          <cell r="D36" t="str">
            <v>汉族</v>
          </cell>
          <cell r="E36" t="str">
            <v>文盲</v>
          </cell>
          <cell r="F36" t="str">
            <v>已婚</v>
          </cell>
          <cell r="G36" t="str">
            <v>农业</v>
          </cell>
        </row>
        <row r="36">
          <cell r="I36" t="str">
            <v>15983882200</v>
          </cell>
          <cell r="J36" t="str">
            <v>石板街道</v>
          </cell>
          <cell r="K36" t="str">
            <v>关渡村</v>
          </cell>
          <cell r="L36" t="str">
            <v>四川省达州市达川区石板镇关渡村2组</v>
          </cell>
          <cell r="M36" t="str">
            <v>四川省达州市达川区石板镇关渡村2组</v>
          </cell>
          <cell r="N36" t="str">
            <v>何志全</v>
          </cell>
          <cell r="O36" t="str">
            <v>配偶</v>
          </cell>
        </row>
        <row r="36">
          <cell r="R36" t="str">
            <v>51302119401011044244</v>
          </cell>
          <cell r="S36" t="str">
            <v>肢体</v>
          </cell>
          <cell r="T36" t="str">
            <v>四级</v>
          </cell>
          <cell r="U36" t="str">
            <v>肢体四级;</v>
          </cell>
        </row>
        <row r="37">
          <cell r="B37" t="str">
            <v>513021196908030448</v>
          </cell>
          <cell r="C37" t="str">
            <v>女</v>
          </cell>
          <cell r="D37" t="str">
            <v>汉族</v>
          </cell>
          <cell r="E37" t="str">
            <v>初中</v>
          </cell>
          <cell r="F37" t="str">
            <v>已婚</v>
          </cell>
          <cell r="G37" t="str">
            <v>农业</v>
          </cell>
        </row>
        <row r="37">
          <cell r="I37" t="str">
            <v>18090926055</v>
          </cell>
          <cell r="J37" t="str">
            <v>石板街道</v>
          </cell>
          <cell r="K37" t="str">
            <v>关渡村</v>
          </cell>
          <cell r="L37" t="str">
            <v>四川省达县石板镇关渡村5组</v>
          </cell>
          <cell r="M37" t="str">
            <v>四川省达县石板镇关渡村5组</v>
          </cell>
        </row>
        <row r="37">
          <cell r="R37" t="str">
            <v>51302119690803044844</v>
          </cell>
          <cell r="S37" t="str">
            <v>肢体</v>
          </cell>
          <cell r="T37" t="str">
            <v>四级</v>
          </cell>
          <cell r="U37" t="str">
            <v>肢体四级;</v>
          </cell>
        </row>
        <row r="38">
          <cell r="B38" t="str">
            <v>513021196902090490</v>
          </cell>
          <cell r="C38" t="str">
            <v>男</v>
          </cell>
          <cell r="D38" t="str">
            <v>汉族</v>
          </cell>
          <cell r="E38" t="str">
            <v>初中</v>
          </cell>
          <cell r="F38" t="str">
            <v>已婚</v>
          </cell>
          <cell r="G38" t="str">
            <v>农业</v>
          </cell>
        </row>
        <row r="38">
          <cell r="I38" t="str">
            <v>15181890998</v>
          </cell>
          <cell r="J38" t="str">
            <v>石板街道</v>
          </cell>
          <cell r="K38" t="str">
            <v>关渡村</v>
          </cell>
          <cell r="L38" t="str">
            <v>四川省达州市达川区石板镇关渡村1组</v>
          </cell>
          <cell r="M38" t="str">
            <v>四川省达州市达川区石板镇关渡村1组</v>
          </cell>
        </row>
        <row r="38">
          <cell r="R38" t="str">
            <v>51302119690209049044</v>
          </cell>
          <cell r="S38" t="str">
            <v>肢体</v>
          </cell>
          <cell r="T38" t="str">
            <v>四级</v>
          </cell>
          <cell r="U38" t="str">
            <v>肢体四级;</v>
          </cell>
        </row>
        <row r="39">
          <cell r="B39" t="str">
            <v>513021195308060454</v>
          </cell>
          <cell r="C39" t="str">
            <v>男</v>
          </cell>
          <cell r="D39" t="str">
            <v>汉族</v>
          </cell>
          <cell r="E39" t="str">
            <v>小学</v>
          </cell>
          <cell r="F39" t="str">
            <v>已婚</v>
          </cell>
          <cell r="G39" t="str">
            <v>农业</v>
          </cell>
        </row>
        <row r="39">
          <cell r="I39" t="str">
            <v>13659064529</v>
          </cell>
          <cell r="J39" t="str">
            <v>石板街道</v>
          </cell>
          <cell r="K39" t="str">
            <v>关渡村</v>
          </cell>
          <cell r="L39" t="str">
            <v>四川省达州市达川区石板镇关渡村1组</v>
          </cell>
          <cell r="M39" t="str">
            <v>四川省达州市达川区石板镇关渡村1组</v>
          </cell>
          <cell r="N39" t="str">
            <v>陈仲珍</v>
          </cell>
          <cell r="O39" t="str">
            <v>配偶</v>
          </cell>
        </row>
        <row r="39">
          <cell r="R39" t="str">
            <v>51302119530806045411</v>
          </cell>
          <cell r="S39" t="str">
            <v>视力</v>
          </cell>
          <cell r="T39" t="str">
            <v>一级</v>
          </cell>
          <cell r="U39" t="str">
            <v>视力一级;</v>
          </cell>
        </row>
        <row r="40">
          <cell r="B40" t="str">
            <v>513021196810090450</v>
          </cell>
          <cell r="C40" t="str">
            <v>男</v>
          </cell>
          <cell r="D40" t="str">
            <v>汉族</v>
          </cell>
          <cell r="E40" t="str">
            <v>小学</v>
          </cell>
          <cell r="F40" t="str">
            <v>已婚</v>
          </cell>
          <cell r="G40" t="str">
            <v>农业</v>
          </cell>
        </row>
        <row r="40">
          <cell r="I40" t="str">
            <v>15882916798</v>
          </cell>
          <cell r="J40" t="str">
            <v>石板街道</v>
          </cell>
          <cell r="K40" t="str">
            <v>关渡村</v>
          </cell>
          <cell r="L40" t="str">
            <v>四川省达州市达川区石板镇关渡村6组</v>
          </cell>
          <cell r="M40" t="str">
            <v>四川省达州市达川区石板镇关渡村6组</v>
          </cell>
        </row>
        <row r="40">
          <cell r="R40" t="str">
            <v>51302119681009045044</v>
          </cell>
          <cell r="S40" t="str">
            <v>肢体</v>
          </cell>
          <cell r="T40" t="str">
            <v>四级</v>
          </cell>
          <cell r="U40" t="str">
            <v>肢体四级;</v>
          </cell>
        </row>
        <row r="41">
          <cell r="B41" t="str">
            <v>513021196305260455</v>
          </cell>
          <cell r="C41" t="str">
            <v>男</v>
          </cell>
          <cell r="D41" t="str">
            <v>汉族</v>
          </cell>
          <cell r="E41" t="str">
            <v>初中</v>
          </cell>
          <cell r="F41" t="str">
            <v>已婚</v>
          </cell>
          <cell r="G41" t="str">
            <v>农业</v>
          </cell>
        </row>
        <row r="41">
          <cell r="I41" t="str">
            <v>13079097265</v>
          </cell>
          <cell r="J41" t="str">
            <v>石板街道</v>
          </cell>
          <cell r="K41" t="str">
            <v>关渡村</v>
          </cell>
          <cell r="L41" t="str">
            <v>四川省达州市达川区石板镇长青村8组</v>
          </cell>
          <cell r="M41" t="str">
            <v>四川省达州市达川区石板镇长青村8组</v>
          </cell>
        </row>
        <row r="41">
          <cell r="R41" t="str">
            <v>51302119630526045544</v>
          </cell>
          <cell r="S41" t="str">
            <v>肢体</v>
          </cell>
          <cell r="T41" t="str">
            <v>四级</v>
          </cell>
          <cell r="U41" t="str">
            <v>肢体四级;</v>
          </cell>
        </row>
        <row r="42">
          <cell r="B42" t="str">
            <v>513021194311290459</v>
          </cell>
          <cell r="C42" t="str">
            <v>男</v>
          </cell>
          <cell r="D42" t="str">
            <v>汉族</v>
          </cell>
          <cell r="E42" t="str">
            <v>文盲</v>
          </cell>
          <cell r="F42" t="str">
            <v>已婚</v>
          </cell>
          <cell r="G42" t="str">
            <v>农业</v>
          </cell>
        </row>
        <row r="42">
          <cell r="I42" t="str">
            <v>13086339330</v>
          </cell>
          <cell r="J42" t="str">
            <v>石板街道</v>
          </cell>
          <cell r="K42" t="str">
            <v>关渡村</v>
          </cell>
          <cell r="L42" t="str">
            <v>四川省达州市达川区石板镇关渡村8组</v>
          </cell>
          <cell r="M42" t="str">
            <v>四川省达州市达川区石板镇关渡村8组</v>
          </cell>
        </row>
        <row r="42">
          <cell r="R42" t="str">
            <v>51302119431129045914</v>
          </cell>
          <cell r="S42" t="str">
            <v>视力</v>
          </cell>
          <cell r="T42" t="str">
            <v>四级</v>
          </cell>
          <cell r="U42" t="str">
            <v>视力四级;</v>
          </cell>
        </row>
        <row r="43">
          <cell r="B43" t="str">
            <v>513021195607200453</v>
          </cell>
          <cell r="C43" t="str">
            <v>男</v>
          </cell>
          <cell r="D43" t="str">
            <v>汉族</v>
          </cell>
          <cell r="E43" t="str">
            <v>文盲</v>
          </cell>
          <cell r="F43" t="str">
            <v>未婚</v>
          </cell>
          <cell r="G43" t="str">
            <v>农业</v>
          </cell>
        </row>
        <row r="43">
          <cell r="J43" t="str">
            <v>石板街道</v>
          </cell>
          <cell r="K43" t="str">
            <v>关渡村</v>
          </cell>
          <cell r="L43" t="str">
            <v>达县石板镇长青村3组</v>
          </cell>
          <cell r="M43" t="str">
            <v>达县石板镇长青村3组</v>
          </cell>
          <cell r="N43" t="str">
            <v>潘传建</v>
          </cell>
          <cell r="O43" t="str">
            <v>兄/弟/姐/妹</v>
          </cell>
        </row>
        <row r="43">
          <cell r="Q43" t="str">
            <v>13890424099</v>
          </cell>
          <cell r="R43" t="str">
            <v>51302119560720045352</v>
          </cell>
          <cell r="S43" t="str">
            <v>智力</v>
          </cell>
          <cell r="T43" t="str">
            <v>二级</v>
          </cell>
          <cell r="U43" t="str">
            <v>智力二级;</v>
          </cell>
        </row>
        <row r="44">
          <cell r="B44" t="str">
            <v>513021195202020454</v>
          </cell>
          <cell r="C44" t="str">
            <v>男</v>
          </cell>
          <cell r="D44" t="str">
            <v>汉族</v>
          </cell>
          <cell r="E44" t="str">
            <v>小学</v>
          </cell>
          <cell r="F44" t="str">
            <v>已婚</v>
          </cell>
          <cell r="G44" t="str">
            <v>农业</v>
          </cell>
        </row>
        <row r="44">
          <cell r="I44" t="str">
            <v>16525985525</v>
          </cell>
          <cell r="J44" t="str">
            <v>石板街道</v>
          </cell>
          <cell r="K44" t="str">
            <v>关渡村</v>
          </cell>
          <cell r="L44" t="str">
            <v>四川省达州市达川区石板街道关渡村6组</v>
          </cell>
          <cell r="M44" t="str">
            <v>四川省达州市达川区石板街道关渡村6组</v>
          </cell>
        </row>
        <row r="44">
          <cell r="R44" t="str">
            <v>51302119520202045414</v>
          </cell>
          <cell r="S44" t="str">
            <v>视力</v>
          </cell>
          <cell r="T44" t="str">
            <v>四级</v>
          </cell>
          <cell r="U44" t="str">
            <v>视力四级;</v>
          </cell>
        </row>
        <row r="45">
          <cell r="B45" t="str">
            <v>513021198001090441</v>
          </cell>
          <cell r="C45" t="str">
            <v>女</v>
          </cell>
          <cell r="D45" t="str">
            <v>汉族</v>
          </cell>
          <cell r="E45" t="str">
            <v>初中</v>
          </cell>
          <cell r="F45" t="str">
            <v>已婚</v>
          </cell>
          <cell r="G45" t="str">
            <v>农业</v>
          </cell>
        </row>
        <row r="45">
          <cell r="I45" t="str">
            <v>13036629296</v>
          </cell>
          <cell r="J45" t="str">
            <v>石板街道</v>
          </cell>
          <cell r="K45" t="str">
            <v>关渡村</v>
          </cell>
          <cell r="L45" t="str">
            <v>四川省达州市达川区石板镇长青村2组</v>
          </cell>
          <cell r="M45" t="str">
            <v>四川省达州市达川区石板镇长青村2组</v>
          </cell>
          <cell r="N45" t="str">
            <v>唐正强</v>
          </cell>
          <cell r="O45" t="str">
            <v>配偶</v>
          </cell>
        </row>
        <row r="45">
          <cell r="Q45" t="str">
            <v>13408195229</v>
          </cell>
          <cell r="R45" t="str">
            <v>51302119800109044144</v>
          </cell>
          <cell r="S45" t="str">
            <v>肢体</v>
          </cell>
          <cell r="T45" t="str">
            <v>四级</v>
          </cell>
          <cell r="U45" t="str">
            <v>肢体四级;</v>
          </cell>
        </row>
        <row r="46">
          <cell r="B46" t="str">
            <v>513021197804080453</v>
          </cell>
          <cell r="C46" t="str">
            <v>男</v>
          </cell>
          <cell r="D46" t="str">
            <v>汉族</v>
          </cell>
          <cell r="E46" t="str">
            <v>小学</v>
          </cell>
          <cell r="F46" t="str">
            <v>未婚</v>
          </cell>
          <cell r="G46" t="str">
            <v>农业</v>
          </cell>
        </row>
        <row r="46">
          <cell r="I46" t="str">
            <v>18781886513</v>
          </cell>
          <cell r="J46" t="str">
            <v>石板街道</v>
          </cell>
          <cell r="K46" t="str">
            <v>关渡村</v>
          </cell>
          <cell r="L46" t="str">
            <v>四川省达州市达川区石板街道关渡村5组</v>
          </cell>
          <cell r="M46" t="str">
            <v>四川省达州市达川区石板街道关渡村5组</v>
          </cell>
        </row>
        <row r="46">
          <cell r="R46" t="str">
            <v>51302119780408045344</v>
          </cell>
          <cell r="S46" t="str">
            <v>肢体</v>
          </cell>
          <cell r="T46" t="str">
            <v>四级</v>
          </cell>
          <cell r="U46" t="str">
            <v>肢体四级;</v>
          </cell>
        </row>
        <row r="47">
          <cell r="B47" t="str">
            <v>513021195701290440</v>
          </cell>
          <cell r="C47" t="str">
            <v>女</v>
          </cell>
          <cell r="D47" t="str">
            <v>汉族</v>
          </cell>
          <cell r="E47" t="str">
            <v>小学</v>
          </cell>
          <cell r="F47" t="str">
            <v>未婚</v>
          </cell>
          <cell r="G47" t="str">
            <v>农业</v>
          </cell>
        </row>
        <row r="47">
          <cell r="I47" t="str">
            <v>18123202652</v>
          </cell>
          <cell r="J47" t="str">
            <v>石板街道</v>
          </cell>
          <cell r="K47" t="str">
            <v>关渡村</v>
          </cell>
          <cell r="L47" t="str">
            <v>四川省达州市达川区石板街道关渡村5组</v>
          </cell>
          <cell r="M47" t="str">
            <v>四川省达州市达川区石板街道关渡村5组</v>
          </cell>
        </row>
        <row r="47">
          <cell r="R47" t="str">
            <v>51302119570129044044</v>
          </cell>
          <cell r="S47" t="str">
            <v>肢体</v>
          </cell>
          <cell r="T47" t="str">
            <v>四级</v>
          </cell>
          <cell r="U47" t="str">
            <v>肢体四级;</v>
          </cell>
        </row>
        <row r="48">
          <cell r="B48" t="str">
            <v>513021196601030451</v>
          </cell>
          <cell r="C48" t="str">
            <v>男</v>
          </cell>
          <cell r="D48" t="str">
            <v>汉族</v>
          </cell>
          <cell r="E48" t="str">
            <v>初中</v>
          </cell>
          <cell r="F48" t="str">
            <v>已婚</v>
          </cell>
          <cell r="G48" t="str">
            <v>农业</v>
          </cell>
        </row>
        <row r="48">
          <cell r="I48" t="str">
            <v>15881898488</v>
          </cell>
          <cell r="J48" t="str">
            <v>石板街道</v>
          </cell>
          <cell r="K48" t="str">
            <v>关渡村</v>
          </cell>
          <cell r="L48" t="str">
            <v>四川省达州市达川区石板镇关渡村5组</v>
          </cell>
          <cell r="M48" t="str">
            <v>四川省达州市达川区石板镇关渡村5组</v>
          </cell>
        </row>
        <row r="48">
          <cell r="R48" t="str">
            <v>51302119660103045114</v>
          </cell>
          <cell r="S48" t="str">
            <v>视力</v>
          </cell>
          <cell r="T48" t="str">
            <v>四级</v>
          </cell>
          <cell r="U48" t="str">
            <v>视力四级;</v>
          </cell>
        </row>
        <row r="49">
          <cell r="B49" t="str">
            <v>513021196402100445</v>
          </cell>
          <cell r="C49" t="str">
            <v>女</v>
          </cell>
          <cell r="D49" t="str">
            <v>汉族</v>
          </cell>
          <cell r="E49" t="str">
            <v>初中</v>
          </cell>
          <cell r="F49" t="str">
            <v>已婚</v>
          </cell>
          <cell r="G49" t="str">
            <v>农业</v>
          </cell>
        </row>
        <row r="49">
          <cell r="I49" t="str">
            <v>15775652945</v>
          </cell>
          <cell r="J49" t="str">
            <v>石板街道</v>
          </cell>
          <cell r="K49" t="str">
            <v>关渡村</v>
          </cell>
          <cell r="L49" t="str">
            <v>四川省达州市达川区石板街道关渡村6组</v>
          </cell>
          <cell r="M49" t="str">
            <v>四川省达州市达川区石板街道关渡村6组</v>
          </cell>
        </row>
        <row r="49">
          <cell r="R49" t="str">
            <v>51302119640210044522</v>
          </cell>
          <cell r="S49" t="str">
            <v>听力</v>
          </cell>
          <cell r="T49" t="str">
            <v>二级</v>
          </cell>
          <cell r="U49" t="str">
            <v>听力二级;</v>
          </cell>
        </row>
        <row r="50">
          <cell r="B50" t="str">
            <v>513021197001030479</v>
          </cell>
          <cell r="C50" t="str">
            <v>男</v>
          </cell>
          <cell r="D50" t="str">
            <v>汉族</v>
          </cell>
          <cell r="E50" t="str">
            <v>小学</v>
          </cell>
          <cell r="F50" t="str">
            <v>已婚</v>
          </cell>
          <cell r="G50" t="str">
            <v>农业</v>
          </cell>
        </row>
        <row r="50">
          <cell r="I50" t="str">
            <v>14781802505</v>
          </cell>
          <cell r="J50" t="str">
            <v>石板街道</v>
          </cell>
          <cell r="K50" t="str">
            <v>关渡村</v>
          </cell>
          <cell r="L50" t="str">
            <v>四川省达州市达川区石板街道关渡村5组</v>
          </cell>
          <cell r="M50" t="str">
            <v>四川省达州市达川区石板街道关渡村5组</v>
          </cell>
        </row>
        <row r="50">
          <cell r="R50" t="str">
            <v>51302119700103047942</v>
          </cell>
          <cell r="S50" t="str">
            <v>肢体</v>
          </cell>
          <cell r="T50" t="str">
            <v>二级</v>
          </cell>
          <cell r="U50" t="str">
            <v>肢体二级;</v>
          </cell>
        </row>
        <row r="51">
          <cell r="B51" t="str">
            <v>513021197202080472</v>
          </cell>
          <cell r="C51" t="str">
            <v>男</v>
          </cell>
          <cell r="D51" t="str">
            <v>汉族</v>
          </cell>
          <cell r="E51" t="str">
            <v>小学</v>
          </cell>
          <cell r="F51" t="str">
            <v>未婚</v>
          </cell>
          <cell r="G51" t="str">
            <v>农业</v>
          </cell>
        </row>
        <row r="51">
          <cell r="I51" t="str">
            <v>000000000</v>
          </cell>
          <cell r="J51" t="str">
            <v>石板街道</v>
          </cell>
          <cell r="K51" t="str">
            <v>关渡村</v>
          </cell>
          <cell r="L51" t="str">
            <v>四川省达县石板镇长青村4组</v>
          </cell>
          <cell r="M51" t="str">
            <v>四川省达县石板镇长青村4组</v>
          </cell>
        </row>
        <row r="51">
          <cell r="R51" t="str">
            <v>51302119720208047244</v>
          </cell>
          <cell r="S51" t="str">
            <v>肢体</v>
          </cell>
          <cell r="T51" t="str">
            <v>四级</v>
          </cell>
          <cell r="U51" t="str">
            <v>肢体四级;</v>
          </cell>
        </row>
        <row r="52">
          <cell r="B52" t="str">
            <v>513021196408100446</v>
          </cell>
          <cell r="C52" t="str">
            <v>女</v>
          </cell>
          <cell r="D52" t="str">
            <v>汉族</v>
          </cell>
          <cell r="E52" t="str">
            <v>初中</v>
          </cell>
          <cell r="F52" t="str">
            <v>已婚</v>
          </cell>
          <cell r="G52" t="str">
            <v>农业</v>
          </cell>
        </row>
        <row r="52">
          <cell r="I52" t="str">
            <v>15298109085</v>
          </cell>
          <cell r="J52" t="str">
            <v>石板街道</v>
          </cell>
          <cell r="K52" t="str">
            <v>关渡村</v>
          </cell>
          <cell r="L52" t="str">
            <v>四川省达州市达川区石板街道关渡村2组</v>
          </cell>
          <cell r="M52" t="str">
            <v>四川省达州市达川区石板街道关渡村2组</v>
          </cell>
        </row>
        <row r="52">
          <cell r="R52" t="str">
            <v>51302119640810044614</v>
          </cell>
          <cell r="S52" t="str">
            <v>视力</v>
          </cell>
          <cell r="T52" t="str">
            <v>四级</v>
          </cell>
          <cell r="U52" t="str">
            <v>视力四级;</v>
          </cell>
        </row>
        <row r="53">
          <cell r="B53" t="str">
            <v>513021197812190441</v>
          </cell>
          <cell r="C53" t="str">
            <v>女</v>
          </cell>
          <cell r="D53" t="str">
            <v>汉族</v>
          </cell>
          <cell r="E53" t="str">
            <v>高中</v>
          </cell>
          <cell r="F53" t="str">
            <v>未婚</v>
          </cell>
          <cell r="G53" t="str">
            <v>农业</v>
          </cell>
        </row>
        <row r="53">
          <cell r="I53" t="str">
            <v>000000000000</v>
          </cell>
          <cell r="J53" t="str">
            <v>石板街道</v>
          </cell>
          <cell r="K53" t="str">
            <v>关渡村</v>
          </cell>
          <cell r="L53" t="str">
            <v>四川省达县石板镇长青村8组</v>
          </cell>
          <cell r="M53" t="str">
            <v>四川省达县石板镇长青村8组</v>
          </cell>
        </row>
        <row r="53">
          <cell r="R53" t="str">
            <v>51302119781219044144</v>
          </cell>
          <cell r="S53" t="str">
            <v>肢体</v>
          </cell>
          <cell r="T53" t="str">
            <v>四级</v>
          </cell>
          <cell r="U53" t="str">
            <v>肢体四级;</v>
          </cell>
        </row>
        <row r="54">
          <cell r="B54" t="str">
            <v>513021195506180457</v>
          </cell>
          <cell r="C54" t="str">
            <v>男</v>
          </cell>
          <cell r="D54" t="str">
            <v>汉族</v>
          </cell>
          <cell r="E54" t="str">
            <v>初中</v>
          </cell>
          <cell r="F54" t="str">
            <v>已婚</v>
          </cell>
          <cell r="G54" t="str">
            <v>农业</v>
          </cell>
        </row>
        <row r="54">
          <cell r="I54" t="str">
            <v>00000</v>
          </cell>
          <cell r="J54" t="str">
            <v>石板街道</v>
          </cell>
          <cell r="K54" t="str">
            <v>关渡村</v>
          </cell>
          <cell r="L54" t="str">
            <v>四川省达州市达川区石板镇关渡村6组</v>
          </cell>
          <cell r="M54" t="str">
            <v>四川省达州市达川区石板镇关渡村6组</v>
          </cell>
          <cell r="N54" t="str">
            <v>白朝亮</v>
          </cell>
          <cell r="O54" t="str">
            <v>女</v>
          </cell>
        </row>
        <row r="54">
          <cell r="Q54" t="str">
            <v>000000</v>
          </cell>
          <cell r="R54" t="str">
            <v>51302119550618045771</v>
          </cell>
          <cell r="S54" t="str">
            <v>多重</v>
          </cell>
          <cell r="T54" t="str">
            <v>一级</v>
          </cell>
          <cell r="U54" t="str">
            <v>肢体三级;精神一级;</v>
          </cell>
        </row>
        <row r="55">
          <cell r="B55" t="str">
            <v>513021196709170456</v>
          </cell>
          <cell r="C55" t="str">
            <v>男</v>
          </cell>
          <cell r="D55" t="str">
            <v>汉族</v>
          </cell>
          <cell r="E55" t="str">
            <v>初中</v>
          </cell>
          <cell r="F55" t="str">
            <v>已婚</v>
          </cell>
          <cell r="G55" t="str">
            <v>农业</v>
          </cell>
        </row>
        <row r="55">
          <cell r="I55" t="str">
            <v>18282991477</v>
          </cell>
          <cell r="J55" t="str">
            <v>石板街道</v>
          </cell>
          <cell r="K55" t="str">
            <v>关渡村</v>
          </cell>
          <cell r="L55" t="str">
            <v>四川省达州市达川区石板街道关渡村2组</v>
          </cell>
          <cell r="M55" t="str">
            <v>四川省达州市达川区石板街道关渡村2组</v>
          </cell>
        </row>
        <row r="55">
          <cell r="R55" t="str">
            <v>51302119670917045644</v>
          </cell>
          <cell r="S55" t="str">
            <v>肢体</v>
          </cell>
          <cell r="T55" t="str">
            <v>四级</v>
          </cell>
          <cell r="U55" t="str">
            <v>肢体四级;</v>
          </cell>
        </row>
        <row r="56">
          <cell r="B56" t="str">
            <v>513021195702030448</v>
          </cell>
          <cell r="C56" t="str">
            <v>女</v>
          </cell>
          <cell r="D56" t="str">
            <v>汉族</v>
          </cell>
          <cell r="E56" t="str">
            <v>初中</v>
          </cell>
          <cell r="F56" t="str">
            <v>已婚</v>
          </cell>
          <cell r="G56" t="str">
            <v>农业</v>
          </cell>
        </row>
        <row r="56">
          <cell r="I56" t="str">
            <v>13684206456</v>
          </cell>
          <cell r="J56" t="str">
            <v>石板街道</v>
          </cell>
          <cell r="K56" t="str">
            <v>关渡村</v>
          </cell>
          <cell r="L56" t="str">
            <v>四川省达州市达川区石板街道关渡村7组</v>
          </cell>
          <cell r="M56" t="str">
            <v>四川省达州市达川区石板街道关渡村7组</v>
          </cell>
          <cell r="N56" t="str">
            <v>唐正茂</v>
          </cell>
          <cell r="O56" t="str">
            <v>配偶</v>
          </cell>
        </row>
        <row r="56">
          <cell r="R56" t="str">
            <v>51302119570203044844B1</v>
          </cell>
          <cell r="S56" t="str">
            <v>肢体</v>
          </cell>
          <cell r="T56" t="str">
            <v>四级</v>
          </cell>
          <cell r="U56" t="str">
            <v>肢体四级;</v>
          </cell>
        </row>
        <row r="57">
          <cell r="B57" t="str">
            <v>513021196612270995</v>
          </cell>
          <cell r="C57" t="str">
            <v>男</v>
          </cell>
          <cell r="D57" t="str">
            <v>汉族</v>
          </cell>
          <cell r="E57" t="str">
            <v>小学</v>
          </cell>
          <cell r="F57" t="str">
            <v>已婚</v>
          </cell>
          <cell r="G57" t="str">
            <v>农业</v>
          </cell>
        </row>
        <row r="57">
          <cell r="I57" t="str">
            <v>13320765300</v>
          </cell>
          <cell r="J57" t="str">
            <v>石板街道</v>
          </cell>
          <cell r="K57" t="str">
            <v>关渡村</v>
          </cell>
          <cell r="L57" t="str">
            <v>四川省达州市达川区石板街道关渡村５组</v>
          </cell>
          <cell r="M57" t="str">
            <v>四川省达州市达川区石板街道关渡村５组</v>
          </cell>
        </row>
        <row r="57">
          <cell r="R57" t="str">
            <v>51302119661227099544</v>
          </cell>
          <cell r="S57" t="str">
            <v>肢体</v>
          </cell>
          <cell r="T57" t="str">
            <v>四级</v>
          </cell>
          <cell r="U57" t="str">
            <v>肢体四级;</v>
          </cell>
        </row>
        <row r="58">
          <cell r="B58" t="str">
            <v>513021197003130465</v>
          </cell>
          <cell r="C58" t="str">
            <v>女</v>
          </cell>
          <cell r="D58" t="str">
            <v>汉族</v>
          </cell>
          <cell r="E58" t="str">
            <v>小学</v>
          </cell>
          <cell r="F58" t="str">
            <v>已婚</v>
          </cell>
          <cell r="G58" t="str">
            <v>农业</v>
          </cell>
        </row>
        <row r="58">
          <cell r="I58" t="str">
            <v>00000000</v>
          </cell>
          <cell r="J58" t="str">
            <v>石板街道</v>
          </cell>
          <cell r="K58" t="str">
            <v>关渡村</v>
          </cell>
          <cell r="L58" t="str">
            <v>四川省达州市达川区石板镇关渡村1组</v>
          </cell>
          <cell r="M58" t="str">
            <v>四川省达州市达川区石板镇关渡村1组</v>
          </cell>
        </row>
        <row r="58">
          <cell r="R58" t="str">
            <v>51302119700313046523</v>
          </cell>
          <cell r="S58" t="str">
            <v>听力</v>
          </cell>
          <cell r="T58" t="str">
            <v>三级</v>
          </cell>
          <cell r="U58" t="str">
            <v>听力三级;</v>
          </cell>
        </row>
        <row r="59">
          <cell r="B59" t="str">
            <v>513021197410260451</v>
          </cell>
          <cell r="C59" t="str">
            <v>男</v>
          </cell>
          <cell r="D59" t="str">
            <v>汉族</v>
          </cell>
          <cell r="E59" t="str">
            <v>初中</v>
          </cell>
          <cell r="F59" t="str">
            <v>已婚</v>
          </cell>
          <cell r="G59" t="str">
            <v>农业</v>
          </cell>
        </row>
        <row r="59">
          <cell r="I59" t="str">
            <v>15882941655</v>
          </cell>
          <cell r="J59" t="str">
            <v>石板街道</v>
          </cell>
          <cell r="K59" t="str">
            <v>关渡村</v>
          </cell>
          <cell r="L59" t="str">
            <v>四川省达州市达川区石板镇关渡村２组</v>
          </cell>
          <cell r="M59" t="str">
            <v>四川省达县石板镇关渡村２组</v>
          </cell>
        </row>
        <row r="59">
          <cell r="R59" t="str">
            <v>51302119741026045144</v>
          </cell>
          <cell r="S59" t="str">
            <v>肢体</v>
          </cell>
          <cell r="T59" t="str">
            <v>四级</v>
          </cell>
          <cell r="U59" t="str">
            <v>肢体四级;</v>
          </cell>
        </row>
        <row r="60">
          <cell r="B60" t="str">
            <v>513021195301150449</v>
          </cell>
          <cell r="C60" t="str">
            <v>女</v>
          </cell>
          <cell r="D60" t="str">
            <v>汉族</v>
          </cell>
          <cell r="E60" t="str">
            <v>小学</v>
          </cell>
          <cell r="F60" t="str">
            <v>已婚</v>
          </cell>
          <cell r="G60" t="str">
            <v>农业</v>
          </cell>
        </row>
        <row r="60">
          <cell r="I60" t="str">
            <v>15328957419</v>
          </cell>
          <cell r="J60" t="str">
            <v>石板街道</v>
          </cell>
          <cell r="K60" t="str">
            <v>关渡村</v>
          </cell>
          <cell r="L60" t="str">
            <v>四川省达州市达川区石板街道关渡村1组</v>
          </cell>
          <cell r="M60" t="str">
            <v>四川省达州市达川区石板街道关渡村1组</v>
          </cell>
        </row>
        <row r="60">
          <cell r="R60" t="str">
            <v>51302119530115044944</v>
          </cell>
          <cell r="S60" t="str">
            <v>肢体</v>
          </cell>
          <cell r="T60" t="str">
            <v>四级</v>
          </cell>
          <cell r="U60" t="str">
            <v>肢体四级;</v>
          </cell>
        </row>
        <row r="61">
          <cell r="B61" t="str">
            <v>513021194201120459</v>
          </cell>
          <cell r="C61" t="str">
            <v>男</v>
          </cell>
          <cell r="D61" t="str">
            <v>汉族</v>
          </cell>
          <cell r="E61" t="str">
            <v>初中</v>
          </cell>
          <cell r="F61" t="str">
            <v>已婚</v>
          </cell>
          <cell r="G61" t="str">
            <v>农业</v>
          </cell>
        </row>
        <row r="61">
          <cell r="I61" t="str">
            <v>13882811566</v>
          </cell>
          <cell r="J61" t="str">
            <v>石板街道</v>
          </cell>
          <cell r="K61" t="str">
            <v>关渡村</v>
          </cell>
          <cell r="L61" t="str">
            <v>四川省达州市达川区石板街道关渡村15组</v>
          </cell>
          <cell r="M61" t="str">
            <v>四川省达州市达川区石板街道关渡村15组</v>
          </cell>
        </row>
        <row r="61">
          <cell r="R61" t="str">
            <v>51302119420112045944</v>
          </cell>
          <cell r="S61" t="str">
            <v>肢体</v>
          </cell>
          <cell r="T61" t="str">
            <v>四级</v>
          </cell>
          <cell r="U61" t="str">
            <v>肢体四级;</v>
          </cell>
        </row>
        <row r="62">
          <cell r="B62" t="str">
            <v>513021197310200451</v>
          </cell>
          <cell r="C62" t="str">
            <v>男</v>
          </cell>
          <cell r="D62" t="str">
            <v>汉族</v>
          </cell>
          <cell r="E62" t="str">
            <v>初中</v>
          </cell>
          <cell r="F62" t="str">
            <v>已婚</v>
          </cell>
          <cell r="G62" t="str">
            <v>农业</v>
          </cell>
        </row>
        <row r="62">
          <cell r="I62" t="str">
            <v>15390458370</v>
          </cell>
          <cell r="J62" t="str">
            <v>石板街道</v>
          </cell>
          <cell r="K62" t="str">
            <v>关渡村</v>
          </cell>
          <cell r="L62" t="str">
            <v>四川省达县石板镇关渡村5组525号</v>
          </cell>
          <cell r="M62" t="str">
            <v>四川省达县石板镇关渡村5组525号</v>
          </cell>
        </row>
        <row r="62">
          <cell r="R62" t="str">
            <v>51302119731020045144B1</v>
          </cell>
          <cell r="S62" t="str">
            <v>肢体</v>
          </cell>
          <cell r="T62" t="str">
            <v>四级</v>
          </cell>
          <cell r="U62" t="str">
            <v>肢体四级;</v>
          </cell>
        </row>
        <row r="63">
          <cell r="B63" t="str">
            <v>513021194208130449</v>
          </cell>
          <cell r="C63" t="str">
            <v>女</v>
          </cell>
          <cell r="D63" t="str">
            <v>汉族</v>
          </cell>
          <cell r="E63" t="str">
            <v>文盲</v>
          </cell>
          <cell r="F63" t="str">
            <v>已婚</v>
          </cell>
          <cell r="G63" t="str">
            <v>农业</v>
          </cell>
        </row>
        <row r="63">
          <cell r="I63" t="str">
            <v>00000000000</v>
          </cell>
          <cell r="J63" t="str">
            <v>石板街道</v>
          </cell>
          <cell r="K63" t="str">
            <v>关渡村</v>
          </cell>
          <cell r="L63" t="str">
            <v>四川省达州市达川区石板镇关渡村15组</v>
          </cell>
          <cell r="M63" t="str">
            <v>四川省达县石板镇关渡村15组</v>
          </cell>
        </row>
        <row r="63">
          <cell r="R63" t="str">
            <v>51302119420813044913</v>
          </cell>
          <cell r="S63" t="str">
            <v>视力</v>
          </cell>
          <cell r="T63" t="str">
            <v>三级</v>
          </cell>
          <cell r="U63" t="str">
            <v>视力三级;</v>
          </cell>
        </row>
        <row r="64">
          <cell r="B64" t="str">
            <v>513021194606050452</v>
          </cell>
          <cell r="C64" t="str">
            <v>男</v>
          </cell>
          <cell r="D64" t="str">
            <v>汉族</v>
          </cell>
          <cell r="E64" t="str">
            <v>小学</v>
          </cell>
          <cell r="F64" t="str">
            <v>已婚</v>
          </cell>
          <cell r="G64" t="str">
            <v>农业</v>
          </cell>
        </row>
        <row r="64">
          <cell r="I64" t="str">
            <v>2660234</v>
          </cell>
          <cell r="J64" t="str">
            <v>石板街道</v>
          </cell>
          <cell r="K64" t="str">
            <v>关渡村</v>
          </cell>
          <cell r="L64" t="str">
            <v>四川省达州市达川区石板镇关渡村15组</v>
          </cell>
          <cell r="M64" t="str">
            <v>四川省达州市达川区石板镇关渡村15组</v>
          </cell>
        </row>
        <row r="64">
          <cell r="R64" t="str">
            <v>51302119460605045242</v>
          </cell>
          <cell r="S64" t="str">
            <v>肢体</v>
          </cell>
          <cell r="T64" t="str">
            <v>二级</v>
          </cell>
          <cell r="U64" t="str">
            <v>肢体二级;</v>
          </cell>
        </row>
        <row r="65">
          <cell r="B65" t="str">
            <v>513021197306160522</v>
          </cell>
          <cell r="C65" t="str">
            <v>女</v>
          </cell>
          <cell r="D65" t="str">
            <v>汉族</v>
          </cell>
          <cell r="E65" t="str">
            <v>小学</v>
          </cell>
          <cell r="F65" t="str">
            <v>已婚</v>
          </cell>
          <cell r="G65" t="str">
            <v>农业</v>
          </cell>
        </row>
        <row r="65">
          <cell r="I65" t="str">
            <v>17197218262</v>
          </cell>
          <cell r="J65" t="str">
            <v>石板街道</v>
          </cell>
          <cell r="K65" t="str">
            <v>关渡村</v>
          </cell>
          <cell r="L65" t="str">
            <v>四川省达州市达川区石板街道关渡村5组</v>
          </cell>
          <cell r="M65" t="str">
            <v>四川省达州市达川区石板街道关渡村5组</v>
          </cell>
        </row>
        <row r="65">
          <cell r="R65" t="str">
            <v>51302119730616052244</v>
          </cell>
          <cell r="S65" t="str">
            <v>肢体</v>
          </cell>
          <cell r="T65" t="str">
            <v>四级</v>
          </cell>
          <cell r="U65" t="str">
            <v>肢体四级;</v>
          </cell>
        </row>
        <row r="66">
          <cell r="B66" t="str">
            <v>513021194401100460</v>
          </cell>
          <cell r="C66" t="str">
            <v>女</v>
          </cell>
          <cell r="D66" t="str">
            <v>汉族</v>
          </cell>
          <cell r="E66" t="str">
            <v>小学</v>
          </cell>
          <cell r="F66" t="str">
            <v>已婚</v>
          </cell>
          <cell r="G66" t="str">
            <v>农业</v>
          </cell>
        </row>
        <row r="66">
          <cell r="I66" t="str">
            <v>18228656092</v>
          </cell>
          <cell r="J66" t="str">
            <v>石板街道</v>
          </cell>
          <cell r="K66" t="str">
            <v>关渡村</v>
          </cell>
          <cell r="L66" t="str">
            <v>四川省达县石板镇关渡村5组</v>
          </cell>
          <cell r="M66" t="str">
            <v>四川省达县石板镇关渡村5组</v>
          </cell>
        </row>
        <row r="66">
          <cell r="R66" t="str">
            <v>51302119440110046042</v>
          </cell>
          <cell r="S66" t="str">
            <v>肢体</v>
          </cell>
          <cell r="T66" t="str">
            <v>二级</v>
          </cell>
          <cell r="U66" t="str">
            <v>肢体二级;</v>
          </cell>
        </row>
        <row r="67">
          <cell r="B67" t="str">
            <v>513021197109290221</v>
          </cell>
          <cell r="C67" t="str">
            <v>女</v>
          </cell>
          <cell r="D67" t="str">
            <v>汉族</v>
          </cell>
          <cell r="E67" t="str">
            <v>小学</v>
          </cell>
          <cell r="F67" t="str">
            <v>已婚</v>
          </cell>
          <cell r="G67" t="str">
            <v>农业</v>
          </cell>
        </row>
        <row r="67">
          <cell r="I67" t="str">
            <v>15182851226</v>
          </cell>
          <cell r="J67" t="str">
            <v>石板街道</v>
          </cell>
          <cell r="K67" t="str">
            <v>关渡村</v>
          </cell>
          <cell r="L67" t="str">
            <v>四川省达州市达川区石板镇长青村2组</v>
          </cell>
          <cell r="M67" t="str">
            <v>四川省达州市达川区石板镇长青村2组</v>
          </cell>
        </row>
        <row r="67">
          <cell r="R67" t="str">
            <v>51302119710929022144</v>
          </cell>
          <cell r="S67" t="str">
            <v>肢体</v>
          </cell>
          <cell r="T67" t="str">
            <v>四级</v>
          </cell>
          <cell r="U67" t="str">
            <v>肢体四级;</v>
          </cell>
        </row>
        <row r="68">
          <cell r="B68" t="str">
            <v>513021196210080443</v>
          </cell>
          <cell r="C68" t="str">
            <v>女</v>
          </cell>
          <cell r="D68" t="str">
            <v>汉族</v>
          </cell>
          <cell r="E68" t="str">
            <v>初中</v>
          </cell>
          <cell r="F68" t="str">
            <v>已婚</v>
          </cell>
          <cell r="G68" t="str">
            <v>农业</v>
          </cell>
        </row>
        <row r="68">
          <cell r="I68" t="str">
            <v>0000000000</v>
          </cell>
          <cell r="J68" t="str">
            <v>石板街道</v>
          </cell>
          <cell r="K68" t="str">
            <v>关渡村</v>
          </cell>
          <cell r="L68" t="str">
            <v>四川省达州市达川区石板镇关渡村2组</v>
          </cell>
          <cell r="M68" t="str">
            <v>四川省达州市达川区石板镇关渡村2组</v>
          </cell>
        </row>
        <row r="68">
          <cell r="R68" t="str">
            <v>51302119621008044323</v>
          </cell>
          <cell r="S68" t="str">
            <v>听力</v>
          </cell>
          <cell r="T68" t="str">
            <v>三级</v>
          </cell>
          <cell r="U68" t="str">
            <v>听力三级;</v>
          </cell>
        </row>
        <row r="69">
          <cell r="B69" t="str">
            <v>51302119550812044X</v>
          </cell>
          <cell r="C69" t="str">
            <v>女</v>
          </cell>
          <cell r="D69" t="str">
            <v>汉族</v>
          </cell>
          <cell r="E69" t="str">
            <v>文盲</v>
          </cell>
          <cell r="F69" t="str">
            <v>已婚</v>
          </cell>
          <cell r="G69" t="str">
            <v>农业</v>
          </cell>
        </row>
        <row r="69">
          <cell r="I69" t="str">
            <v>15892404769</v>
          </cell>
          <cell r="J69" t="str">
            <v>石板街道</v>
          </cell>
          <cell r="K69" t="str">
            <v>关渡村</v>
          </cell>
          <cell r="L69" t="str">
            <v>四川省达州市达川区石板街道关渡村6组</v>
          </cell>
          <cell r="M69" t="str">
            <v>四川省达州市达川区石板街道关渡村6组</v>
          </cell>
        </row>
        <row r="69">
          <cell r="R69" t="str">
            <v>51302119550812044X23</v>
          </cell>
          <cell r="S69" t="str">
            <v>听力</v>
          </cell>
          <cell r="T69" t="str">
            <v>三级</v>
          </cell>
          <cell r="U69" t="str">
            <v>听力三级;</v>
          </cell>
        </row>
        <row r="70">
          <cell r="B70" t="str">
            <v>513021195709020445</v>
          </cell>
          <cell r="C70" t="str">
            <v>女</v>
          </cell>
          <cell r="D70" t="str">
            <v>汉族</v>
          </cell>
          <cell r="E70" t="str">
            <v>高中</v>
          </cell>
          <cell r="F70" t="str">
            <v>已婚</v>
          </cell>
          <cell r="G70" t="str">
            <v>农业</v>
          </cell>
        </row>
        <row r="70">
          <cell r="I70" t="str">
            <v>13398342126</v>
          </cell>
          <cell r="J70" t="str">
            <v>石板街道</v>
          </cell>
          <cell r="K70" t="str">
            <v>关渡村</v>
          </cell>
          <cell r="L70" t="str">
            <v>四川省达县石板镇关渡村6组</v>
          </cell>
          <cell r="M70" t="str">
            <v>四川省达县石板镇关渡村6组</v>
          </cell>
        </row>
        <row r="70">
          <cell r="R70" t="str">
            <v>51302119570902044543</v>
          </cell>
          <cell r="S70" t="str">
            <v>肢体</v>
          </cell>
          <cell r="T70" t="str">
            <v>三级</v>
          </cell>
          <cell r="U70" t="str">
            <v>肢体三级;</v>
          </cell>
        </row>
        <row r="71">
          <cell r="B71" t="str">
            <v>513021194101130449</v>
          </cell>
          <cell r="C71" t="str">
            <v>女</v>
          </cell>
          <cell r="D71" t="str">
            <v>汉族</v>
          </cell>
          <cell r="E71" t="str">
            <v>文盲</v>
          </cell>
          <cell r="F71" t="str">
            <v>已婚</v>
          </cell>
          <cell r="G71" t="str">
            <v>农业</v>
          </cell>
        </row>
        <row r="71">
          <cell r="I71" t="str">
            <v>13551428997</v>
          </cell>
          <cell r="J71" t="str">
            <v>石板街道</v>
          </cell>
          <cell r="K71" t="str">
            <v>关渡村</v>
          </cell>
          <cell r="L71" t="str">
            <v>四川省达县石板镇关渡村４组３１９号</v>
          </cell>
          <cell r="M71" t="str">
            <v>四川省达县石板镇关渡村４组３１９号</v>
          </cell>
        </row>
        <row r="71">
          <cell r="R71" t="str">
            <v>51302119410113044923</v>
          </cell>
          <cell r="S71" t="str">
            <v>听力</v>
          </cell>
          <cell r="T71" t="str">
            <v>三级</v>
          </cell>
          <cell r="U71" t="str">
            <v>听力三级;</v>
          </cell>
        </row>
        <row r="72">
          <cell r="B72" t="str">
            <v>513021194808250479</v>
          </cell>
          <cell r="C72" t="str">
            <v>男</v>
          </cell>
          <cell r="D72" t="str">
            <v>汉族</v>
          </cell>
          <cell r="E72" t="str">
            <v>初中</v>
          </cell>
          <cell r="F72" t="str">
            <v>已婚</v>
          </cell>
          <cell r="G72" t="str">
            <v>农业</v>
          </cell>
        </row>
        <row r="72">
          <cell r="I72" t="str">
            <v>18281817447</v>
          </cell>
          <cell r="J72" t="str">
            <v>石板街道</v>
          </cell>
          <cell r="K72" t="str">
            <v>关渡村</v>
          </cell>
          <cell r="L72" t="str">
            <v>四川省达州市达川区石板镇长青村3组</v>
          </cell>
          <cell r="M72" t="str">
            <v>四川省达州市达川区石板镇长青村3组</v>
          </cell>
        </row>
        <row r="72">
          <cell r="R72" t="str">
            <v>51302119480825047944</v>
          </cell>
          <cell r="S72" t="str">
            <v>肢体</v>
          </cell>
          <cell r="T72" t="str">
            <v>四级</v>
          </cell>
          <cell r="U72" t="str">
            <v>肢体四级;</v>
          </cell>
        </row>
        <row r="73">
          <cell r="B73" t="str">
            <v>511721200506215728</v>
          </cell>
          <cell r="C73" t="str">
            <v>女</v>
          </cell>
          <cell r="D73" t="str">
            <v>汉族</v>
          </cell>
          <cell r="E73" t="str">
            <v>小学</v>
          </cell>
          <cell r="F73" t="str">
            <v>未婚</v>
          </cell>
          <cell r="G73" t="str">
            <v>农业</v>
          </cell>
        </row>
        <row r="73">
          <cell r="I73" t="str">
            <v>18381885279</v>
          </cell>
          <cell r="J73" t="str">
            <v>石板街道</v>
          </cell>
          <cell r="K73" t="str">
            <v>关渡村</v>
          </cell>
          <cell r="L73" t="str">
            <v>四川省达州市达川区石板街道关渡村１组</v>
          </cell>
          <cell r="M73" t="str">
            <v>四川省达州市达川区石板街道关渡村１组</v>
          </cell>
          <cell r="N73" t="str">
            <v>伍承文</v>
          </cell>
          <cell r="O73" t="str">
            <v>父母</v>
          </cell>
          <cell r="P73" t="str">
            <v>3422180</v>
          </cell>
        </row>
        <row r="73">
          <cell r="R73" t="str">
            <v>51172120050621572843</v>
          </cell>
          <cell r="S73" t="str">
            <v>肢体</v>
          </cell>
          <cell r="T73" t="str">
            <v>三级</v>
          </cell>
          <cell r="U73" t="str">
            <v>肢体三级;</v>
          </cell>
        </row>
        <row r="74">
          <cell r="B74" t="str">
            <v>513021194701280029</v>
          </cell>
          <cell r="C74" t="str">
            <v>女</v>
          </cell>
          <cell r="D74" t="str">
            <v>汉族</v>
          </cell>
          <cell r="E74" t="str">
            <v>文盲</v>
          </cell>
          <cell r="F74" t="str">
            <v>已婚</v>
          </cell>
          <cell r="G74" t="str">
            <v>农业</v>
          </cell>
        </row>
        <row r="74">
          <cell r="I74" t="str">
            <v>18989176087</v>
          </cell>
          <cell r="J74" t="str">
            <v>石板街道</v>
          </cell>
          <cell r="K74" t="str">
            <v>关渡村</v>
          </cell>
          <cell r="L74" t="str">
            <v>四川省达县石板镇关渡村６组</v>
          </cell>
          <cell r="M74" t="str">
            <v>四川省达县石板镇关渡村６组</v>
          </cell>
        </row>
        <row r="74">
          <cell r="R74" t="str">
            <v>51302119470128002944</v>
          </cell>
          <cell r="S74" t="str">
            <v>肢体</v>
          </cell>
          <cell r="T74" t="str">
            <v>四级</v>
          </cell>
          <cell r="U74" t="str">
            <v>肢体四级;</v>
          </cell>
        </row>
        <row r="75">
          <cell r="B75" t="str">
            <v>511721200410015713</v>
          </cell>
          <cell r="C75" t="str">
            <v>男</v>
          </cell>
          <cell r="D75" t="str">
            <v>汉族</v>
          </cell>
          <cell r="E75" t="str">
            <v>小学</v>
          </cell>
          <cell r="F75" t="str">
            <v>未婚</v>
          </cell>
          <cell r="G75" t="str">
            <v>农业</v>
          </cell>
        </row>
        <row r="75">
          <cell r="I75" t="str">
            <v>13079058298</v>
          </cell>
          <cell r="J75" t="str">
            <v>石板街道</v>
          </cell>
          <cell r="K75" t="str">
            <v>关渡村</v>
          </cell>
          <cell r="L75" t="str">
            <v>四川省达州市达川区石板镇长青村6组２３５号</v>
          </cell>
          <cell r="M75" t="str">
            <v>四川省达县石板镇长青村6组２３５号</v>
          </cell>
          <cell r="N75" t="str">
            <v>白学贵</v>
          </cell>
          <cell r="O75" t="str">
            <v>父母</v>
          </cell>
        </row>
        <row r="75">
          <cell r="Q75" t="str">
            <v>13079058298</v>
          </cell>
          <cell r="R75" t="str">
            <v>51172120041001571344</v>
          </cell>
          <cell r="S75" t="str">
            <v>肢体</v>
          </cell>
          <cell r="T75" t="str">
            <v>四级</v>
          </cell>
          <cell r="U75" t="str">
            <v>肢体四级;</v>
          </cell>
        </row>
        <row r="76">
          <cell r="B76" t="str">
            <v>513021196401080454</v>
          </cell>
          <cell r="C76" t="str">
            <v>男</v>
          </cell>
          <cell r="D76" t="str">
            <v>汉族</v>
          </cell>
          <cell r="E76" t="str">
            <v>初中</v>
          </cell>
          <cell r="F76" t="str">
            <v>已婚</v>
          </cell>
          <cell r="G76" t="str">
            <v>农业</v>
          </cell>
        </row>
        <row r="76">
          <cell r="I76" t="str">
            <v>18281830764</v>
          </cell>
          <cell r="J76" t="str">
            <v>石板街道</v>
          </cell>
          <cell r="K76" t="str">
            <v>关渡村</v>
          </cell>
          <cell r="L76" t="str">
            <v>四川省达州市达川区石板镇长青村2组</v>
          </cell>
          <cell r="M76" t="str">
            <v>四川省达州市达川区石板镇长青村2组</v>
          </cell>
        </row>
        <row r="76">
          <cell r="R76" t="str">
            <v>51302119640108045443</v>
          </cell>
          <cell r="S76" t="str">
            <v>肢体</v>
          </cell>
          <cell r="T76" t="str">
            <v>三级</v>
          </cell>
          <cell r="U76" t="str">
            <v>肢体三级;</v>
          </cell>
        </row>
        <row r="77">
          <cell r="B77" t="str">
            <v>513021194405214481</v>
          </cell>
          <cell r="C77" t="str">
            <v>女</v>
          </cell>
          <cell r="D77" t="str">
            <v>汉族</v>
          </cell>
          <cell r="E77" t="str">
            <v>小学</v>
          </cell>
          <cell r="F77" t="str">
            <v>已婚</v>
          </cell>
          <cell r="G77" t="str">
            <v>农业</v>
          </cell>
        </row>
        <row r="77">
          <cell r="I77" t="str">
            <v>15181812388</v>
          </cell>
          <cell r="J77" t="str">
            <v>石板街道</v>
          </cell>
          <cell r="K77" t="str">
            <v>关渡村</v>
          </cell>
          <cell r="L77" t="str">
            <v>四川省达州市达川区石板街道关渡村组</v>
          </cell>
          <cell r="M77" t="str">
            <v>四川省达州市达川区石板街道关渡村5组</v>
          </cell>
        </row>
        <row r="77">
          <cell r="R77" t="str">
            <v>51302119440521448141</v>
          </cell>
          <cell r="S77" t="str">
            <v>肢体</v>
          </cell>
          <cell r="T77" t="str">
            <v>一级</v>
          </cell>
          <cell r="U77" t="str">
            <v>肢体一级;</v>
          </cell>
        </row>
        <row r="78">
          <cell r="B78" t="str">
            <v>513021199109170448</v>
          </cell>
          <cell r="C78" t="str">
            <v>女</v>
          </cell>
          <cell r="D78" t="str">
            <v>汉族</v>
          </cell>
          <cell r="E78" t="str">
            <v>小学</v>
          </cell>
          <cell r="F78" t="str">
            <v>未婚</v>
          </cell>
          <cell r="G78" t="str">
            <v>农业</v>
          </cell>
        </row>
        <row r="78">
          <cell r="I78" t="str">
            <v>18281873566</v>
          </cell>
          <cell r="J78" t="str">
            <v>石板街道</v>
          </cell>
          <cell r="K78" t="str">
            <v>关渡村</v>
          </cell>
          <cell r="L78" t="str">
            <v>四川省达州市达川区石板街道关渡村村5组</v>
          </cell>
          <cell r="M78" t="str">
            <v>四川省达州市达川区石板街道关渡村5组</v>
          </cell>
          <cell r="N78" t="str">
            <v>何刚元</v>
          </cell>
          <cell r="O78" t="str">
            <v>父母</v>
          </cell>
        </row>
        <row r="78">
          <cell r="Q78" t="str">
            <v>18281873566</v>
          </cell>
          <cell r="R78" t="str">
            <v>51302119910917044844B1</v>
          </cell>
          <cell r="S78" t="str">
            <v>肢体</v>
          </cell>
          <cell r="T78" t="str">
            <v>四级</v>
          </cell>
          <cell r="U78" t="str">
            <v>肢体四级;</v>
          </cell>
        </row>
        <row r="79">
          <cell r="B79" t="str">
            <v>513021194706270444</v>
          </cell>
          <cell r="C79" t="str">
            <v>女</v>
          </cell>
          <cell r="D79" t="str">
            <v>汉族</v>
          </cell>
          <cell r="E79" t="str">
            <v>小学</v>
          </cell>
          <cell r="F79" t="str">
            <v>已婚</v>
          </cell>
          <cell r="G79" t="str">
            <v>农业</v>
          </cell>
        </row>
        <row r="79">
          <cell r="I79" t="str">
            <v>0000000000</v>
          </cell>
          <cell r="J79" t="str">
            <v>石板街道</v>
          </cell>
          <cell r="K79" t="str">
            <v>关渡村</v>
          </cell>
          <cell r="L79" t="str">
            <v>四川省达县石板镇关渡村1组</v>
          </cell>
          <cell r="M79" t="str">
            <v>四川省达县石板镇关渡村1组</v>
          </cell>
        </row>
        <row r="79">
          <cell r="R79" t="str">
            <v>51302119470627044444</v>
          </cell>
          <cell r="S79" t="str">
            <v>肢体</v>
          </cell>
          <cell r="T79" t="str">
            <v>四级</v>
          </cell>
          <cell r="U79" t="str">
            <v>肢体四级;</v>
          </cell>
        </row>
        <row r="80">
          <cell r="B80" t="str">
            <v>513021195201010457</v>
          </cell>
          <cell r="C80" t="str">
            <v>男</v>
          </cell>
          <cell r="D80" t="str">
            <v>汉族</v>
          </cell>
          <cell r="E80" t="str">
            <v>小学</v>
          </cell>
          <cell r="F80" t="str">
            <v>丧偶</v>
          </cell>
          <cell r="G80" t="str">
            <v>农业</v>
          </cell>
        </row>
        <row r="80">
          <cell r="I80" t="str">
            <v>15983889606</v>
          </cell>
          <cell r="J80" t="str">
            <v>石板街道</v>
          </cell>
          <cell r="K80" t="str">
            <v>关渡村</v>
          </cell>
          <cell r="L80" t="str">
            <v>四川省达州市达川区石板镇政府街600号</v>
          </cell>
          <cell r="M80" t="str">
            <v>四川省达州市达川区石板镇长青村7组325号</v>
          </cell>
        </row>
        <row r="80">
          <cell r="R80" t="str">
            <v>51302119520101045744</v>
          </cell>
          <cell r="S80" t="str">
            <v>肢体</v>
          </cell>
          <cell r="T80" t="str">
            <v>四级</v>
          </cell>
          <cell r="U80" t="str">
            <v>肢体四级;</v>
          </cell>
        </row>
        <row r="81">
          <cell r="B81" t="str">
            <v>513021196410080472</v>
          </cell>
          <cell r="C81" t="str">
            <v>男</v>
          </cell>
          <cell r="D81" t="str">
            <v>汉族</v>
          </cell>
          <cell r="E81" t="str">
            <v>初中</v>
          </cell>
          <cell r="F81" t="str">
            <v>已婚</v>
          </cell>
          <cell r="G81" t="str">
            <v>农业</v>
          </cell>
        </row>
        <row r="81">
          <cell r="I81" t="str">
            <v>15583768928</v>
          </cell>
          <cell r="J81" t="str">
            <v>石板街道</v>
          </cell>
          <cell r="K81" t="str">
            <v>关渡村</v>
          </cell>
          <cell r="L81" t="str">
            <v>四川省达州市达川区石板街道关渡村7组</v>
          </cell>
          <cell r="M81" t="str">
            <v>四川省达州市达川区石板街道关渡村7组</v>
          </cell>
        </row>
        <row r="81">
          <cell r="O81" t="str">
            <v>其他</v>
          </cell>
        </row>
        <row r="81">
          <cell r="R81" t="str">
            <v>51302119641008047244</v>
          </cell>
          <cell r="S81" t="str">
            <v>肢体</v>
          </cell>
          <cell r="T81" t="str">
            <v>四级</v>
          </cell>
          <cell r="U81" t="str">
            <v>肢体四级;</v>
          </cell>
        </row>
        <row r="82">
          <cell r="B82" t="str">
            <v>513021198902100459</v>
          </cell>
          <cell r="C82" t="str">
            <v>男</v>
          </cell>
          <cell r="D82" t="str">
            <v>汉族</v>
          </cell>
          <cell r="E82" t="str">
            <v>大专</v>
          </cell>
          <cell r="F82" t="str">
            <v>已婚</v>
          </cell>
          <cell r="G82" t="str">
            <v>农业</v>
          </cell>
        </row>
        <row r="82">
          <cell r="I82" t="str">
            <v>0000000000</v>
          </cell>
          <cell r="J82" t="str">
            <v>石板街道</v>
          </cell>
          <cell r="K82" t="str">
            <v>关渡村</v>
          </cell>
          <cell r="L82" t="str">
            <v>四川省达州市达川区石板镇长青村3组</v>
          </cell>
          <cell r="M82" t="str">
            <v>四川省达州市达川区石板镇长青村3组</v>
          </cell>
        </row>
        <row r="82">
          <cell r="R82" t="str">
            <v>51302119890210045943</v>
          </cell>
          <cell r="S82" t="str">
            <v>肢体</v>
          </cell>
          <cell r="T82" t="str">
            <v>三级</v>
          </cell>
          <cell r="U82" t="str">
            <v>肢体三级;</v>
          </cell>
        </row>
        <row r="83">
          <cell r="B83" t="str">
            <v>513021196101190483</v>
          </cell>
          <cell r="C83" t="str">
            <v>女</v>
          </cell>
          <cell r="D83" t="str">
            <v>汉族</v>
          </cell>
          <cell r="E83" t="str">
            <v>初中</v>
          </cell>
          <cell r="F83" t="str">
            <v>已婚</v>
          </cell>
          <cell r="G83" t="str">
            <v>农业</v>
          </cell>
        </row>
        <row r="83">
          <cell r="I83" t="str">
            <v>13568182379</v>
          </cell>
          <cell r="J83" t="str">
            <v>石板街道</v>
          </cell>
          <cell r="K83" t="str">
            <v>关渡村</v>
          </cell>
          <cell r="L83" t="str">
            <v>四川省达州市达川区石板镇关渡村1组</v>
          </cell>
          <cell r="M83" t="str">
            <v>四川省达县石板镇关渡村1组</v>
          </cell>
        </row>
        <row r="83">
          <cell r="R83" t="str">
            <v>51302119610119048341</v>
          </cell>
          <cell r="S83" t="str">
            <v>肢体</v>
          </cell>
          <cell r="T83" t="str">
            <v>一级</v>
          </cell>
          <cell r="U83" t="str">
            <v>肢体一级;</v>
          </cell>
        </row>
        <row r="84">
          <cell r="B84" t="str">
            <v>513021199910240456</v>
          </cell>
          <cell r="C84" t="str">
            <v>男</v>
          </cell>
          <cell r="D84" t="str">
            <v>汉族</v>
          </cell>
          <cell r="E84" t="str">
            <v>小学</v>
          </cell>
          <cell r="F84" t="str">
            <v>未婚</v>
          </cell>
          <cell r="G84" t="str">
            <v>农业</v>
          </cell>
        </row>
        <row r="84">
          <cell r="I84" t="str">
            <v>13079000788</v>
          </cell>
          <cell r="J84" t="str">
            <v>石板街道</v>
          </cell>
          <cell r="K84" t="str">
            <v>关渡村</v>
          </cell>
          <cell r="L84" t="str">
            <v>四川省达州市达川区石板镇关渡村5组</v>
          </cell>
          <cell r="M84" t="str">
            <v>四川省达县石板镇关渡村5组</v>
          </cell>
          <cell r="N84" t="str">
            <v>吴艳</v>
          </cell>
          <cell r="O84" t="str">
            <v>父母</v>
          </cell>
        </row>
        <row r="84">
          <cell r="Q84" t="str">
            <v>13079000788</v>
          </cell>
          <cell r="R84" t="str">
            <v>51302119991024045652</v>
          </cell>
          <cell r="S84" t="str">
            <v>智力</v>
          </cell>
          <cell r="T84" t="str">
            <v>二级</v>
          </cell>
          <cell r="U84" t="str">
            <v>智力二级;</v>
          </cell>
        </row>
        <row r="85">
          <cell r="B85" t="str">
            <v>513021195311100488</v>
          </cell>
          <cell r="C85" t="str">
            <v>女</v>
          </cell>
          <cell r="D85" t="str">
            <v>汉族</v>
          </cell>
          <cell r="E85" t="str">
            <v>小学</v>
          </cell>
          <cell r="F85" t="str">
            <v>已婚</v>
          </cell>
          <cell r="G85" t="str">
            <v>农业</v>
          </cell>
        </row>
        <row r="85">
          <cell r="I85" t="str">
            <v>15282424368</v>
          </cell>
          <cell r="J85" t="str">
            <v>石板街道</v>
          </cell>
          <cell r="K85" t="str">
            <v>关渡村</v>
          </cell>
          <cell r="L85" t="str">
            <v>四川省达州市达川区石板街道关渡村2组</v>
          </cell>
          <cell r="M85" t="str">
            <v>四川省达州市达川区石板街道关渡村2组</v>
          </cell>
        </row>
        <row r="85">
          <cell r="R85" t="str">
            <v>51302119531110048844</v>
          </cell>
          <cell r="S85" t="str">
            <v>肢体</v>
          </cell>
          <cell r="T85" t="str">
            <v>四级</v>
          </cell>
          <cell r="U85" t="str">
            <v>肢体四级;</v>
          </cell>
        </row>
        <row r="86">
          <cell r="B86" t="str">
            <v>513021195208180491</v>
          </cell>
          <cell r="C86" t="str">
            <v>男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15388398707</v>
          </cell>
          <cell r="J86" t="str">
            <v>石板街道</v>
          </cell>
          <cell r="K86" t="str">
            <v>关渡村</v>
          </cell>
          <cell r="L86" t="str">
            <v>四川省达州市达川区石板街道关渡村1组</v>
          </cell>
          <cell r="M86" t="str">
            <v>四川省达州市达川区石板街道关渡村1组</v>
          </cell>
        </row>
        <row r="86">
          <cell r="O86" t="str">
            <v>其他</v>
          </cell>
        </row>
        <row r="86">
          <cell r="R86" t="str">
            <v>51302119520818049143</v>
          </cell>
          <cell r="S86" t="str">
            <v>肢体</v>
          </cell>
          <cell r="T86" t="str">
            <v>三级</v>
          </cell>
          <cell r="U86" t="str">
            <v>肢体三级;</v>
          </cell>
        </row>
        <row r="87">
          <cell r="B87" t="str">
            <v>513021194108230477</v>
          </cell>
          <cell r="C87" t="str">
            <v>男</v>
          </cell>
          <cell r="D87" t="str">
            <v>汉族</v>
          </cell>
          <cell r="E87" t="str">
            <v>文盲</v>
          </cell>
          <cell r="F87" t="str">
            <v>未婚</v>
          </cell>
          <cell r="G87" t="str">
            <v>农业</v>
          </cell>
        </row>
        <row r="87">
          <cell r="I87" t="str">
            <v>13718306879</v>
          </cell>
          <cell r="J87" t="str">
            <v>石板街道</v>
          </cell>
          <cell r="K87" t="str">
            <v>关渡村</v>
          </cell>
          <cell r="L87" t="str">
            <v>四川省达州市达川区石板街道关渡村4组</v>
          </cell>
          <cell r="M87" t="str">
            <v>四川省达州市达川区石板街道关渡村4组</v>
          </cell>
        </row>
        <row r="87">
          <cell r="R87" t="str">
            <v>51302119410823047732</v>
          </cell>
          <cell r="S87" t="str">
            <v>言语</v>
          </cell>
          <cell r="T87" t="str">
            <v>二级</v>
          </cell>
          <cell r="U87" t="str">
            <v>言语二级;</v>
          </cell>
        </row>
        <row r="88">
          <cell r="B88" t="str">
            <v>513021193203050453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已婚</v>
          </cell>
          <cell r="G88" t="str">
            <v>农业</v>
          </cell>
        </row>
        <row r="88">
          <cell r="I88" t="str">
            <v>3421899</v>
          </cell>
          <cell r="J88" t="str">
            <v>石板街道</v>
          </cell>
          <cell r="K88" t="str">
            <v>关渡村</v>
          </cell>
          <cell r="L88" t="str">
            <v>四川省达县石板镇关渡村２组１６２号</v>
          </cell>
          <cell r="M88" t="str">
            <v>四川省达县石板镇关渡村２组１６２号</v>
          </cell>
        </row>
        <row r="88">
          <cell r="R88" t="str">
            <v>51302119320305045343</v>
          </cell>
          <cell r="S88" t="str">
            <v>肢体</v>
          </cell>
          <cell r="T88" t="str">
            <v>三级</v>
          </cell>
          <cell r="U88" t="str">
            <v>肢体三级;</v>
          </cell>
        </row>
        <row r="89">
          <cell r="B89" t="str">
            <v>513021199303020451</v>
          </cell>
          <cell r="C89" t="str">
            <v>男</v>
          </cell>
          <cell r="D89" t="str">
            <v>汉族</v>
          </cell>
          <cell r="E89" t="str">
            <v>小学</v>
          </cell>
          <cell r="F89" t="str">
            <v>未婚</v>
          </cell>
          <cell r="G89" t="str">
            <v>农业</v>
          </cell>
        </row>
        <row r="89">
          <cell r="I89" t="str">
            <v>15520293978</v>
          </cell>
          <cell r="J89" t="str">
            <v>石板街道</v>
          </cell>
          <cell r="K89" t="str">
            <v>关渡村</v>
          </cell>
          <cell r="L89" t="str">
            <v>四川省达州市达川区石板镇长青村5组</v>
          </cell>
          <cell r="M89" t="str">
            <v>四川省达州市达川区石板镇长青村5组</v>
          </cell>
          <cell r="N89" t="str">
            <v>吴元会</v>
          </cell>
          <cell r="O89" t="str">
            <v>父母</v>
          </cell>
        </row>
        <row r="89">
          <cell r="Q89" t="str">
            <v>15520293978</v>
          </cell>
          <cell r="R89" t="str">
            <v>51302119930302045163</v>
          </cell>
          <cell r="S89" t="str">
            <v>精神</v>
          </cell>
          <cell r="T89" t="str">
            <v>三级</v>
          </cell>
          <cell r="U89" t="str">
            <v>精神三级;</v>
          </cell>
        </row>
        <row r="90">
          <cell r="B90" t="str">
            <v>513021195007290440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13378199996</v>
          </cell>
          <cell r="J90" t="str">
            <v>石板街道</v>
          </cell>
          <cell r="K90" t="str">
            <v>关渡村</v>
          </cell>
          <cell r="L90" t="str">
            <v>四川省达州市达川区石板街道关渡村15组</v>
          </cell>
          <cell r="M90" t="str">
            <v>四川省达州市达川区石板街道关渡村15组</v>
          </cell>
        </row>
        <row r="90">
          <cell r="R90" t="str">
            <v>51302119500729044044</v>
          </cell>
          <cell r="S90" t="str">
            <v>肢体</v>
          </cell>
          <cell r="T90" t="str">
            <v>四级</v>
          </cell>
          <cell r="U90" t="str">
            <v>肢体四级;</v>
          </cell>
        </row>
        <row r="91">
          <cell r="B91" t="str">
            <v>513021193711300455</v>
          </cell>
          <cell r="C91" t="str">
            <v>男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00000000000</v>
          </cell>
          <cell r="J91" t="str">
            <v>石板街道</v>
          </cell>
          <cell r="K91" t="str">
            <v>关渡村</v>
          </cell>
          <cell r="L91" t="str">
            <v>四川省达县石板镇长青村5组</v>
          </cell>
          <cell r="M91" t="str">
            <v>四川省达县石板镇长青村5组</v>
          </cell>
        </row>
        <row r="91">
          <cell r="R91" t="str">
            <v>51302119371130045544</v>
          </cell>
          <cell r="S91" t="str">
            <v>肢体</v>
          </cell>
          <cell r="T91" t="str">
            <v>四级</v>
          </cell>
          <cell r="U91" t="str">
            <v>肢体四级;</v>
          </cell>
        </row>
        <row r="92">
          <cell r="B92" t="str">
            <v>511721200708285716</v>
          </cell>
          <cell r="C92" t="str">
            <v>男</v>
          </cell>
          <cell r="D92" t="str">
            <v>汉族</v>
          </cell>
          <cell r="E92" t="str">
            <v>文盲</v>
          </cell>
          <cell r="F92" t="str">
            <v>未婚</v>
          </cell>
          <cell r="G92" t="str">
            <v>农业</v>
          </cell>
        </row>
        <row r="92">
          <cell r="I92" t="str">
            <v>18982801612</v>
          </cell>
          <cell r="J92" t="str">
            <v>石板街道</v>
          </cell>
          <cell r="K92" t="str">
            <v>关渡村</v>
          </cell>
          <cell r="L92" t="str">
            <v>四川省达州市达川区石板街道关渡村2组</v>
          </cell>
          <cell r="M92" t="str">
            <v>四川省达州市达川区石板街道关渡村2组</v>
          </cell>
          <cell r="N92" t="str">
            <v>王玲</v>
          </cell>
          <cell r="O92" t="str">
            <v>父母</v>
          </cell>
        </row>
        <row r="92">
          <cell r="Q92" t="str">
            <v>18982801612</v>
          </cell>
          <cell r="R92" t="str">
            <v>51172120070828571652</v>
          </cell>
          <cell r="S92" t="str">
            <v>智力</v>
          </cell>
          <cell r="T92" t="str">
            <v>二级</v>
          </cell>
          <cell r="U92" t="str">
            <v>智力二级;</v>
          </cell>
        </row>
        <row r="93">
          <cell r="B93" t="str">
            <v>513021197904270457</v>
          </cell>
          <cell r="C93" t="str">
            <v>男</v>
          </cell>
          <cell r="D93" t="str">
            <v>汉族</v>
          </cell>
          <cell r="E93" t="str">
            <v>高中</v>
          </cell>
          <cell r="F93" t="str">
            <v>已婚</v>
          </cell>
          <cell r="G93" t="str">
            <v>农业</v>
          </cell>
        </row>
        <row r="93">
          <cell r="I93" t="str">
            <v>000000000000</v>
          </cell>
          <cell r="J93" t="str">
            <v>石板街道</v>
          </cell>
          <cell r="K93" t="str">
            <v>关渡村</v>
          </cell>
          <cell r="L93" t="str">
            <v>四川省达州市达川区石板镇长青村8组</v>
          </cell>
          <cell r="M93" t="str">
            <v>四川省达县石板镇长青村8组</v>
          </cell>
        </row>
        <row r="93">
          <cell r="R93" t="str">
            <v>51302119790427045714</v>
          </cell>
          <cell r="S93" t="str">
            <v>视力</v>
          </cell>
          <cell r="T93" t="str">
            <v>四级</v>
          </cell>
          <cell r="U93" t="str">
            <v>视力四级;</v>
          </cell>
        </row>
        <row r="94">
          <cell r="B94" t="str">
            <v>511721201303165729</v>
          </cell>
          <cell r="C94" t="str">
            <v>女</v>
          </cell>
          <cell r="D94" t="str">
            <v>汉族</v>
          </cell>
          <cell r="E94" t="str">
            <v>文盲</v>
          </cell>
          <cell r="F94" t="str">
            <v>未婚</v>
          </cell>
          <cell r="G94" t="str">
            <v>农业</v>
          </cell>
        </row>
        <row r="94">
          <cell r="I94" t="str">
            <v>15881887807</v>
          </cell>
          <cell r="J94" t="str">
            <v>石板街道</v>
          </cell>
          <cell r="K94" t="str">
            <v>关渡村</v>
          </cell>
          <cell r="L94" t="str">
            <v>四川省达县石板镇关渡村６组７２２号</v>
          </cell>
          <cell r="M94" t="str">
            <v>四川省达县石板镇关渡村６组７２２号</v>
          </cell>
          <cell r="N94" t="str">
            <v>汤龙</v>
          </cell>
          <cell r="O94" t="str">
            <v>父母</v>
          </cell>
        </row>
        <row r="94">
          <cell r="Q94" t="str">
            <v>15881887807</v>
          </cell>
          <cell r="R94" t="str">
            <v>51172120130316572952</v>
          </cell>
          <cell r="S94" t="str">
            <v>智力</v>
          </cell>
          <cell r="T94" t="str">
            <v>二级</v>
          </cell>
          <cell r="U94" t="str">
            <v>智力二级;</v>
          </cell>
        </row>
        <row r="95">
          <cell r="B95" t="str">
            <v>513021194211100451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已婚</v>
          </cell>
          <cell r="G95" t="str">
            <v>农业</v>
          </cell>
        </row>
        <row r="95">
          <cell r="I95" t="str">
            <v>000000</v>
          </cell>
          <cell r="J95" t="str">
            <v>石板街道</v>
          </cell>
          <cell r="K95" t="str">
            <v>关渡村</v>
          </cell>
          <cell r="L95" t="str">
            <v>四川省达县石板镇长青村8组</v>
          </cell>
          <cell r="M95" t="str">
            <v>四川省达县石板镇长青村8组</v>
          </cell>
          <cell r="N95" t="str">
            <v>柏在玉</v>
          </cell>
          <cell r="O95" t="str">
            <v>配偶</v>
          </cell>
        </row>
        <row r="95">
          <cell r="Q95" t="str">
            <v>000000</v>
          </cell>
          <cell r="R95" t="str">
            <v>51302119421110045144</v>
          </cell>
          <cell r="S95" t="str">
            <v>肢体</v>
          </cell>
          <cell r="T95" t="str">
            <v>四级</v>
          </cell>
          <cell r="U95" t="str">
            <v>肢体四级;</v>
          </cell>
        </row>
        <row r="96">
          <cell r="B96" t="str">
            <v>513021196104020455</v>
          </cell>
          <cell r="C96" t="str">
            <v>男</v>
          </cell>
          <cell r="D96" t="str">
            <v>汉族</v>
          </cell>
          <cell r="E96" t="str">
            <v>高中</v>
          </cell>
          <cell r="F96" t="str">
            <v>已婚</v>
          </cell>
          <cell r="G96" t="str">
            <v>农业</v>
          </cell>
        </row>
        <row r="96">
          <cell r="I96" t="str">
            <v>15882981038</v>
          </cell>
          <cell r="J96" t="str">
            <v>石板街道</v>
          </cell>
          <cell r="K96" t="str">
            <v>关渡村</v>
          </cell>
          <cell r="L96" t="str">
            <v>四川省达州市达川区石板镇关渡村１组７７号</v>
          </cell>
          <cell r="M96" t="str">
            <v>四川省达县石板镇关渡村１组７７号</v>
          </cell>
        </row>
        <row r="96">
          <cell r="R96" t="str">
            <v>51302119610402045544</v>
          </cell>
          <cell r="S96" t="str">
            <v>肢体</v>
          </cell>
          <cell r="T96" t="str">
            <v>四级</v>
          </cell>
          <cell r="U96" t="str">
            <v>肢体四级;</v>
          </cell>
        </row>
        <row r="97">
          <cell r="B97" t="str">
            <v>513021195404090450</v>
          </cell>
          <cell r="C97" t="str">
            <v>男</v>
          </cell>
          <cell r="D97" t="str">
            <v>汉族</v>
          </cell>
          <cell r="E97" t="str">
            <v>初中</v>
          </cell>
          <cell r="F97" t="str">
            <v>已婚</v>
          </cell>
          <cell r="G97" t="str">
            <v>农业</v>
          </cell>
        </row>
        <row r="97">
          <cell r="I97" t="str">
            <v>18780844731</v>
          </cell>
          <cell r="J97" t="str">
            <v>石板街道</v>
          </cell>
          <cell r="K97" t="str">
            <v>关渡村</v>
          </cell>
          <cell r="L97" t="str">
            <v>四川省达州市达川区石板镇政府街600号</v>
          </cell>
          <cell r="M97" t="str">
            <v>四川省达州市达川区石板镇长青村6组</v>
          </cell>
        </row>
        <row r="97">
          <cell r="R97" t="str">
            <v>51302119540409045023</v>
          </cell>
          <cell r="S97" t="str">
            <v>听力</v>
          </cell>
          <cell r="T97" t="str">
            <v>三级</v>
          </cell>
          <cell r="U97" t="str">
            <v>听力三级;</v>
          </cell>
        </row>
        <row r="98">
          <cell r="B98" t="str">
            <v>513021196411150479</v>
          </cell>
          <cell r="C98" t="str">
            <v>男</v>
          </cell>
          <cell r="D98" t="str">
            <v>汉族</v>
          </cell>
          <cell r="E98" t="str">
            <v>初中</v>
          </cell>
          <cell r="F98" t="str">
            <v>已婚</v>
          </cell>
          <cell r="G98" t="str">
            <v>农业</v>
          </cell>
        </row>
        <row r="98">
          <cell r="I98" t="str">
            <v>18481866352</v>
          </cell>
          <cell r="J98" t="str">
            <v>石板街道</v>
          </cell>
          <cell r="K98" t="str">
            <v>关渡村</v>
          </cell>
          <cell r="L98" t="str">
            <v>四川省达州市达川区石板街道关渡村2组</v>
          </cell>
          <cell r="M98" t="str">
            <v>四川省达州市达川区石板街道关渡村2组</v>
          </cell>
        </row>
        <row r="98">
          <cell r="R98" t="str">
            <v>51302119641115047944</v>
          </cell>
          <cell r="S98" t="str">
            <v>肢体</v>
          </cell>
          <cell r="T98" t="str">
            <v>四级</v>
          </cell>
          <cell r="U98" t="str">
            <v>肢体四级;</v>
          </cell>
        </row>
        <row r="99">
          <cell r="B99" t="str">
            <v>51302119990221045X</v>
          </cell>
          <cell r="C99" t="str">
            <v>男</v>
          </cell>
          <cell r="D99" t="str">
            <v>汉族</v>
          </cell>
          <cell r="E99" t="str">
            <v>小学</v>
          </cell>
          <cell r="F99" t="str">
            <v>未婚</v>
          </cell>
          <cell r="G99" t="str">
            <v>农业</v>
          </cell>
        </row>
        <row r="99">
          <cell r="I99" t="str">
            <v>15196898364</v>
          </cell>
          <cell r="J99" t="str">
            <v>石板街道</v>
          </cell>
          <cell r="K99" t="str">
            <v>关渡村</v>
          </cell>
          <cell r="L99" t="str">
            <v>四川省达州市达川区石板街道关渡村2组</v>
          </cell>
          <cell r="M99" t="str">
            <v>四川省达州市达川区石板街道关渡村2组</v>
          </cell>
          <cell r="N99" t="str">
            <v>唐正彪</v>
          </cell>
          <cell r="O99" t="str">
            <v>父母</v>
          </cell>
        </row>
        <row r="99">
          <cell r="Q99" t="str">
            <v>15196898364</v>
          </cell>
          <cell r="R99" t="str">
            <v>51302119990221045X62</v>
          </cell>
          <cell r="S99" t="str">
            <v>精神</v>
          </cell>
          <cell r="T99" t="str">
            <v>二级</v>
          </cell>
          <cell r="U99" t="str">
            <v>精神二级;</v>
          </cell>
        </row>
        <row r="100">
          <cell r="B100" t="str">
            <v>513021199211130469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未婚</v>
          </cell>
          <cell r="G100" t="str">
            <v>农业</v>
          </cell>
        </row>
        <row r="100">
          <cell r="I100" t="str">
            <v>13548299942</v>
          </cell>
          <cell r="J100" t="str">
            <v>石板街道</v>
          </cell>
          <cell r="K100" t="str">
            <v>关渡村</v>
          </cell>
          <cell r="L100" t="str">
            <v>四川省达州市达川区石板街道关渡村１组３９号</v>
          </cell>
          <cell r="M100" t="str">
            <v>四川省达州市达川区石板街道关渡村１组３９号</v>
          </cell>
        </row>
        <row r="100">
          <cell r="R100" t="str">
            <v>51302119921113046943</v>
          </cell>
          <cell r="S100" t="str">
            <v>肢体</v>
          </cell>
          <cell r="T100" t="str">
            <v>三级</v>
          </cell>
          <cell r="U100" t="str">
            <v>肢体三级;</v>
          </cell>
        </row>
        <row r="101">
          <cell r="B101" t="str">
            <v>513021194811200448</v>
          </cell>
          <cell r="C101" t="str">
            <v>女</v>
          </cell>
          <cell r="D101" t="str">
            <v>汉族</v>
          </cell>
          <cell r="E101" t="str">
            <v>小学</v>
          </cell>
          <cell r="F101" t="str">
            <v>已婚</v>
          </cell>
          <cell r="G101" t="str">
            <v>农业</v>
          </cell>
        </row>
        <row r="101">
          <cell r="I101" t="str">
            <v>13551411551</v>
          </cell>
          <cell r="J101" t="str">
            <v>石板街道</v>
          </cell>
          <cell r="K101" t="str">
            <v>关渡村</v>
          </cell>
          <cell r="L101" t="str">
            <v>四川省达州市达川区石板镇长青村3组</v>
          </cell>
          <cell r="M101" t="str">
            <v>四川省达州市达川区石板镇长青村3组</v>
          </cell>
        </row>
        <row r="101">
          <cell r="R101" t="str">
            <v>51302119481120044844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513021198810040452</v>
          </cell>
          <cell r="C102" t="str">
            <v>男</v>
          </cell>
          <cell r="D102" t="str">
            <v>汉族</v>
          </cell>
          <cell r="E102" t="str">
            <v>小学</v>
          </cell>
          <cell r="F102" t="str">
            <v>未婚</v>
          </cell>
          <cell r="G102" t="str">
            <v>农业</v>
          </cell>
        </row>
        <row r="102">
          <cell r="I102" t="str">
            <v>13306659652</v>
          </cell>
          <cell r="J102" t="str">
            <v>石板街道</v>
          </cell>
          <cell r="K102" t="str">
            <v>关渡村</v>
          </cell>
          <cell r="L102" t="str">
            <v>四川省达县石板镇关渡村3组</v>
          </cell>
          <cell r="M102" t="str">
            <v>四川省达州市达川区石板镇关渡村3组</v>
          </cell>
        </row>
        <row r="102">
          <cell r="R102" t="str">
            <v>51302119881004045244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513021196809120499</v>
          </cell>
          <cell r="C103" t="str">
            <v>男</v>
          </cell>
          <cell r="D103" t="str">
            <v>汉族</v>
          </cell>
          <cell r="E103" t="str">
            <v>小学</v>
          </cell>
          <cell r="F103" t="str">
            <v>未婚</v>
          </cell>
          <cell r="G103" t="str">
            <v>农业</v>
          </cell>
        </row>
        <row r="103">
          <cell r="I103" t="str">
            <v>13129432445</v>
          </cell>
          <cell r="J103" t="str">
            <v>石板街道</v>
          </cell>
          <cell r="K103" t="str">
            <v>关渡村</v>
          </cell>
          <cell r="L103" t="str">
            <v>四川省达县石板镇长青村2组</v>
          </cell>
          <cell r="M103" t="str">
            <v>四川省达县石板镇长青村2组</v>
          </cell>
        </row>
        <row r="103">
          <cell r="R103" t="str">
            <v>51302119680912049944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513021194407230442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已婚</v>
          </cell>
          <cell r="G104" t="str">
            <v>农业</v>
          </cell>
        </row>
        <row r="104">
          <cell r="I104" t="str">
            <v>15882945680</v>
          </cell>
          <cell r="J104" t="str">
            <v>石板街道</v>
          </cell>
          <cell r="K104" t="str">
            <v>关渡村</v>
          </cell>
          <cell r="L104" t="str">
            <v>四川省达州市达川区石板镇长青村5组</v>
          </cell>
          <cell r="M104" t="str">
            <v>四川省达县石板镇长青村5组</v>
          </cell>
        </row>
        <row r="104">
          <cell r="R104" t="str">
            <v>51302119440723044271</v>
          </cell>
          <cell r="S104" t="str">
            <v>多重</v>
          </cell>
          <cell r="T104" t="str">
            <v>一级</v>
          </cell>
          <cell r="U104" t="str">
            <v>言语一级;肢体二级;</v>
          </cell>
        </row>
        <row r="105">
          <cell r="B105" t="str">
            <v>513021194510030449</v>
          </cell>
          <cell r="C105" t="str">
            <v>女</v>
          </cell>
          <cell r="D105" t="str">
            <v>汉族</v>
          </cell>
          <cell r="E105" t="str">
            <v>文盲</v>
          </cell>
          <cell r="F105" t="str">
            <v>已婚</v>
          </cell>
          <cell r="G105" t="str">
            <v>农业</v>
          </cell>
        </row>
        <row r="105">
          <cell r="I105" t="str">
            <v>15298148956</v>
          </cell>
          <cell r="J105" t="str">
            <v>石板街道</v>
          </cell>
          <cell r="K105" t="str">
            <v>关渡村</v>
          </cell>
          <cell r="L105" t="str">
            <v>四川省达州市达川区石板镇长青村４组１７４号</v>
          </cell>
          <cell r="M105" t="str">
            <v>四川省达县石板镇长青村４组１７４号</v>
          </cell>
        </row>
        <row r="105">
          <cell r="R105" t="str">
            <v>51302119451003044943</v>
          </cell>
          <cell r="S105" t="str">
            <v>肢体</v>
          </cell>
          <cell r="T105" t="str">
            <v>三级</v>
          </cell>
          <cell r="U105" t="str">
            <v>肢体三级;</v>
          </cell>
        </row>
        <row r="106">
          <cell r="B106" t="str">
            <v>513021195010120450</v>
          </cell>
          <cell r="C106" t="str">
            <v>男</v>
          </cell>
          <cell r="D106" t="str">
            <v>汉族</v>
          </cell>
          <cell r="E106" t="str">
            <v>文盲</v>
          </cell>
          <cell r="F106" t="str">
            <v>未婚</v>
          </cell>
          <cell r="G106" t="str">
            <v>农业</v>
          </cell>
        </row>
        <row r="106">
          <cell r="I106" t="str">
            <v>15228001113</v>
          </cell>
          <cell r="J106" t="str">
            <v>石板街道</v>
          </cell>
          <cell r="K106" t="str">
            <v>关渡村</v>
          </cell>
          <cell r="L106" t="str">
            <v>四川省达州市达川区石板街道关渡村2组</v>
          </cell>
          <cell r="M106" t="str">
            <v>四川省达州市达川区石板街道关渡村2组</v>
          </cell>
          <cell r="N106" t="str">
            <v>唐正顺</v>
          </cell>
          <cell r="O106" t="str">
            <v>兄/弟/姐/妹</v>
          </cell>
        </row>
        <row r="106">
          <cell r="Q106" t="str">
            <v>15228001113</v>
          </cell>
          <cell r="R106" t="str">
            <v>51302119501012045052</v>
          </cell>
          <cell r="S106" t="str">
            <v>智力</v>
          </cell>
          <cell r="T106" t="str">
            <v>二级</v>
          </cell>
          <cell r="U106" t="str">
            <v>智力二级;</v>
          </cell>
        </row>
        <row r="107">
          <cell r="B107" t="str">
            <v>513021194512080458</v>
          </cell>
          <cell r="C107" t="str">
            <v>男</v>
          </cell>
          <cell r="D107" t="str">
            <v>汉族</v>
          </cell>
          <cell r="E107" t="str">
            <v>小学</v>
          </cell>
          <cell r="F107" t="str">
            <v>已婚</v>
          </cell>
          <cell r="G107" t="str">
            <v>农业</v>
          </cell>
        </row>
        <row r="107">
          <cell r="I107" t="str">
            <v>15892962509</v>
          </cell>
          <cell r="J107" t="str">
            <v>石板街道</v>
          </cell>
          <cell r="K107" t="str">
            <v>关渡村</v>
          </cell>
          <cell r="L107" t="str">
            <v>四川省达州市达川区石板街道关渡村2组</v>
          </cell>
          <cell r="M107" t="str">
            <v>四川省达州市达川区石板街道关渡村2组</v>
          </cell>
        </row>
        <row r="107">
          <cell r="R107" t="str">
            <v>51302119451208045844</v>
          </cell>
          <cell r="S107" t="str">
            <v>肢体</v>
          </cell>
          <cell r="T107" t="str">
            <v>四级</v>
          </cell>
          <cell r="U107" t="str">
            <v>肢体四级;</v>
          </cell>
        </row>
        <row r="108">
          <cell r="B108" t="str">
            <v>51302119690305044X</v>
          </cell>
          <cell r="C108" t="str">
            <v>女</v>
          </cell>
          <cell r="D108" t="str">
            <v>汉族</v>
          </cell>
          <cell r="E108" t="str">
            <v>初中</v>
          </cell>
          <cell r="F108" t="str">
            <v>丧偶</v>
          </cell>
          <cell r="G108" t="str">
            <v>农业</v>
          </cell>
        </row>
        <row r="108">
          <cell r="I108" t="str">
            <v>15583759682</v>
          </cell>
          <cell r="J108" t="str">
            <v>石板街道</v>
          </cell>
          <cell r="K108" t="str">
            <v>关渡村</v>
          </cell>
          <cell r="L108" t="str">
            <v>四川省达州市达川区石板镇长青村2组</v>
          </cell>
          <cell r="M108" t="str">
            <v>四川省达州市达川区石板镇长青村2组</v>
          </cell>
        </row>
        <row r="108">
          <cell r="R108" t="str">
            <v>51302119690305044X14</v>
          </cell>
          <cell r="S108" t="str">
            <v>视力</v>
          </cell>
          <cell r="T108" t="str">
            <v>四级</v>
          </cell>
          <cell r="U108" t="str">
            <v>视力四级;</v>
          </cell>
        </row>
        <row r="109">
          <cell r="B109" t="str">
            <v>513021196201190456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18381494621</v>
          </cell>
          <cell r="J109" t="str">
            <v>石板街道</v>
          </cell>
          <cell r="K109" t="str">
            <v>关渡村</v>
          </cell>
          <cell r="L109" t="str">
            <v>四川省达州市达川区石板镇长青村5组</v>
          </cell>
          <cell r="M109" t="str">
            <v>四川省达州市达川区石板镇长青村5组</v>
          </cell>
        </row>
        <row r="109">
          <cell r="R109" t="str">
            <v>51302119620119045624</v>
          </cell>
          <cell r="S109" t="str">
            <v>听力</v>
          </cell>
          <cell r="T109" t="str">
            <v>四级</v>
          </cell>
          <cell r="U109" t="str">
            <v>听力四级;</v>
          </cell>
        </row>
        <row r="110">
          <cell r="B110" t="str">
            <v>513021199905230456</v>
          </cell>
          <cell r="C110" t="str">
            <v>男</v>
          </cell>
          <cell r="D110" t="str">
            <v>汉族</v>
          </cell>
          <cell r="E110" t="str">
            <v>初中</v>
          </cell>
          <cell r="F110" t="str">
            <v>未婚</v>
          </cell>
          <cell r="G110" t="str">
            <v>农业</v>
          </cell>
        </row>
        <row r="110">
          <cell r="I110" t="str">
            <v>15060676483</v>
          </cell>
          <cell r="J110" t="str">
            <v>石板街道</v>
          </cell>
          <cell r="K110" t="str">
            <v>关渡村</v>
          </cell>
          <cell r="L110" t="str">
            <v>四川省达县石板镇关渡村1组</v>
          </cell>
          <cell r="M110" t="str">
            <v>四川省达州市达川区石板镇关渡村1组</v>
          </cell>
        </row>
        <row r="110">
          <cell r="R110" t="str">
            <v>51302119990523045644</v>
          </cell>
          <cell r="S110" t="str">
            <v>肢体</v>
          </cell>
          <cell r="T110" t="str">
            <v>四级</v>
          </cell>
          <cell r="U110" t="str">
            <v>肢体四级;</v>
          </cell>
        </row>
        <row r="111">
          <cell r="B111" t="str">
            <v>513021198806180452</v>
          </cell>
          <cell r="C111" t="str">
            <v>男</v>
          </cell>
          <cell r="D111" t="str">
            <v>汉族</v>
          </cell>
          <cell r="E111" t="str">
            <v>小学</v>
          </cell>
          <cell r="F111" t="str">
            <v>未婚</v>
          </cell>
          <cell r="G111" t="str">
            <v>农业</v>
          </cell>
        </row>
        <row r="111">
          <cell r="I111" t="str">
            <v>13419069850</v>
          </cell>
          <cell r="J111" t="str">
            <v>石板街道</v>
          </cell>
          <cell r="K111" t="str">
            <v>关渡村</v>
          </cell>
          <cell r="L111" t="str">
            <v>四川省达州市达川区石板街道关渡村2组</v>
          </cell>
          <cell r="M111" t="str">
            <v>四川省达州市达川区石板街道关渡村2组</v>
          </cell>
          <cell r="N111" t="str">
            <v>唐正万</v>
          </cell>
          <cell r="O111" t="str">
            <v>父母</v>
          </cell>
        </row>
        <row r="111">
          <cell r="Q111" t="str">
            <v>13419069850</v>
          </cell>
          <cell r="R111" t="str">
            <v>51302119880618045262</v>
          </cell>
          <cell r="S111" t="str">
            <v>精神</v>
          </cell>
          <cell r="T111" t="str">
            <v>二级</v>
          </cell>
          <cell r="U111" t="str">
            <v>精神二级;</v>
          </cell>
        </row>
        <row r="112">
          <cell r="B112" t="str">
            <v>513021196903060453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已婚</v>
          </cell>
          <cell r="G112" t="str">
            <v>非农业</v>
          </cell>
        </row>
        <row r="112">
          <cell r="I112" t="str">
            <v>15520280560</v>
          </cell>
          <cell r="J112" t="str">
            <v>石板街道</v>
          </cell>
          <cell r="K112" t="str">
            <v>关渡村</v>
          </cell>
          <cell r="L112" t="str">
            <v>四川省达州市达川区石板镇政府街600号</v>
          </cell>
          <cell r="M112" t="str">
            <v>四川省达州市达川区石板镇政府街600号</v>
          </cell>
        </row>
        <row r="112">
          <cell r="R112" t="str">
            <v>51302119690306045324</v>
          </cell>
          <cell r="S112" t="str">
            <v>听力</v>
          </cell>
          <cell r="T112" t="str">
            <v>四级</v>
          </cell>
          <cell r="U112" t="str">
            <v>听力四级;</v>
          </cell>
        </row>
        <row r="113">
          <cell r="B113" t="str">
            <v>513021196301200455</v>
          </cell>
          <cell r="C113" t="str">
            <v>男</v>
          </cell>
          <cell r="D113" t="str">
            <v>汉族</v>
          </cell>
          <cell r="E113" t="str">
            <v>小学</v>
          </cell>
          <cell r="F113" t="str">
            <v>已婚</v>
          </cell>
          <cell r="G113" t="str">
            <v>农业</v>
          </cell>
        </row>
        <row r="113">
          <cell r="I113" t="str">
            <v>13778350541</v>
          </cell>
          <cell r="J113" t="str">
            <v>石板街道</v>
          </cell>
          <cell r="K113" t="str">
            <v>关渡村</v>
          </cell>
          <cell r="L113" t="str">
            <v>四川省达州市达川区石板镇关渡村6组</v>
          </cell>
          <cell r="M113" t="str">
            <v>四川省达州市达川区石板镇关渡村6组</v>
          </cell>
        </row>
        <row r="113">
          <cell r="R113" t="str">
            <v>51302119630120045524</v>
          </cell>
          <cell r="S113" t="str">
            <v>听力</v>
          </cell>
          <cell r="T113" t="str">
            <v>四级</v>
          </cell>
          <cell r="U113" t="str">
            <v>听力四级;</v>
          </cell>
        </row>
        <row r="114">
          <cell r="B114" t="str">
            <v>513021199708260453</v>
          </cell>
          <cell r="C114" t="str">
            <v>男</v>
          </cell>
          <cell r="D114" t="str">
            <v>汉族</v>
          </cell>
          <cell r="E114" t="str">
            <v>文盲</v>
          </cell>
          <cell r="F114" t="str">
            <v>未婚</v>
          </cell>
          <cell r="G114" t="str">
            <v>农业</v>
          </cell>
        </row>
        <row r="114">
          <cell r="I114" t="str">
            <v>18381825393</v>
          </cell>
          <cell r="J114" t="str">
            <v>石板街道</v>
          </cell>
          <cell r="K114" t="str">
            <v>关渡村</v>
          </cell>
          <cell r="L114" t="str">
            <v>四川省达州市达川区石板镇长青村7组</v>
          </cell>
          <cell r="M114" t="str">
            <v>四川省达州市达川区石板镇长青村7组</v>
          </cell>
          <cell r="N114" t="str">
            <v>杨才国</v>
          </cell>
          <cell r="O114" t="str">
            <v>父母</v>
          </cell>
        </row>
        <row r="114">
          <cell r="Q114" t="str">
            <v>18381825393</v>
          </cell>
          <cell r="R114" t="str">
            <v>51302119970826045362</v>
          </cell>
          <cell r="S114" t="str">
            <v>精神</v>
          </cell>
          <cell r="T114" t="str">
            <v>二级</v>
          </cell>
          <cell r="U114" t="str">
            <v>精神二级;</v>
          </cell>
        </row>
        <row r="115">
          <cell r="B115" t="str">
            <v>513021197805200453</v>
          </cell>
          <cell r="C115" t="str">
            <v>男</v>
          </cell>
          <cell r="D115" t="str">
            <v>汉族</v>
          </cell>
          <cell r="E115" t="str">
            <v>小学</v>
          </cell>
          <cell r="F115" t="str">
            <v>未婚</v>
          </cell>
          <cell r="G115" t="str">
            <v>农业</v>
          </cell>
        </row>
        <row r="115">
          <cell r="I115" t="str">
            <v>13568161826</v>
          </cell>
          <cell r="J115" t="str">
            <v>石板街道</v>
          </cell>
          <cell r="K115" t="str">
            <v>关渡村</v>
          </cell>
          <cell r="L115" t="str">
            <v>四川省达县石板镇长青村5组</v>
          </cell>
          <cell r="M115" t="str">
            <v>四川省达县石板镇长青村5组</v>
          </cell>
        </row>
        <row r="115">
          <cell r="R115" t="str">
            <v>51302119780520045344</v>
          </cell>
          <cell r="S115" t="str">
            <v>肢体</v>
          </cell>
          <cell r="T115" t="str">
            <v>四级</v>
          </cell>
          <cell r="U115" t="str">
            <v>肢体四级;</v>
          </cell>
        </row>
        <row r="116">
          <cell r="B116" t="str">
            <v>513021194812110452</v>
          </cell>
          <cell r="C116" t="str">
            <v>男</v>
          </cell>
          <cell r="D116" t="str">
            <v>汉族</v>
          </cell>
          <cell r="E116" t="str">
            <v>小学</v>
          </cell>
          <cell r="F116" t="str">
            <v>已婚</v>
          </cell>
          <cell r="G116" t="str">
            <v>农业</v>
          </cell>
        </row>
        <row r="116">
          <cell r="I116" t="str">
            <v>000000000</v>
          </cell>
          <cell r="J116" t="str">
            <v>石板街道</v>
          </cell>
          <cell r="K116" t="str">
            <v>关渡村</v>
          </cell>
          <cell r="L116" t="str">
            <v>四川省达县石板镇长青村1组</v>
          </cell>
          <cell r="M116" t="str">
            <v>四川省达县石板镇长青村1组</v>
          </cell>
        </row>
        <row r="116">
          <cell r="R116" t="str">
            <v>51302119481211045243</v>
          </cell>
          <cell r="S116" t="str">
            <v>肢体</v>
          </cell>
          <cell r="T116" t="str">
            <v>三级</v>
          </cell>
          <cell r="U116" t="str">
            <v>肢体三级;</v>
          </cell>
        </row>
        <row r="117">
          <cell r="B117" t="str">
            <v>513021194909210441</v>
          </cell>
          <cell r="C117" t="str">
            <v>女</v>
          </cell>
          <cell r="D117" t="str">
            <v>汉族</v>
          </cell>
          <cell r="E117" t="str">
            <v>小学</v>
          </cell>
          <cell r="F117" t="str">
            <v>已婚</v>
          </cell>
          <cell r="G117" t="str">
            <v>农业</v>
          </cell>
        </row>
        <row r="117">
          <cell r="I117" t="str">
            <v>19183862131</v>
          </cell>
          <cell r="J117" t="str">
            <v>石板街道</v>
          </cell>
          <cell r="K117" t="str">
            <v>关渡村</v>
          </cell>
          <cell r="L117" t="str">
            <v>四川省达州市达川区石板镇长青村1组</v>
          </cell>
          <cell r="M117" t="str">
            <v>四川省达州市达川区石板镇长青村1组</v>
          </cell>
        </row>
        <row r="117">
          <cell r="R117" t="str">
            <v>51302119490921044144</v>
          </cell>
          <cell r="S117" t="str">
            <v>肢体</v>
          </cell>
          <cell r="T117" t="str">
            <v>四级</v>
          </cell>
          <cell r="U117" t="str">
            <v>肢体四级;</v>
          </cell>
        </row>
        <row r="118">
          <cell r="B118" t="str">
            <v>513021197901040488</v>
          </cell>
          <cell r="C118" t="str">
            <v>女</v>
          </cell>
          <cell r="D118" t="str">
            <v>汉族</v>
          </cell>
          <cell r="E118" t="str">
            <v>小学</v>
          </cell>
          <cell r="F118" t="str">
            <v>已婚</v>
          </cell>
          <cell r="G118" t="str">
            <v>农业</v>
          </cell>
        </row>
        <row r="118">
          <cell r="I118" t="str">
            <v>13649068748</v>
          </cell>
          <cell r="J118" t="str">
            <v>石板街道</v>
          </cell>
          <cell r="K118" t="str">
            <v>关渡村</v>
          </cell>
          <cell r="L118" t="str">
            <v>四川省达州市达川区石板街道关渡村5组</v>
          </cell>
          <cell r="M118" t="str">
            <v>四川省达州市达川区石板街道关渡村5组</v>
          </cell>
          <cell r="N118" t="str">
            <v>李才贤</v>
          </cell>
          <cell r="O118" t="str">
            <v>配偶</v>
          </cell>
        </row>
        <row r="118">
          <cell r="Q118" t="str">
            <v>13619068748</v>
          </cell>
          <cell r="R118" t="str">
            <v>51302119790104048852B1</v>
          </cell>
          <cell r="S118" t="str">
            <v>智力</v>
          </cell>
          <cell r="T118" t="str">
            <v>二级</v>
          </cell>
          <cell r="U118" t="str">
            <v>智力二级;</v>
          </cell>
        </row>
        <row r="119">
          <cell r="B119" t="str">
            <v>513021196809060975</v>
          </cell>
          <cell r="C119" t="str">
            <v>男</v>
          </cell>
          <cell r="D119" t="str">
            <v>汉族</v>
          </cell>
          <cell r="E119" t="str">
            <v>小学</v>
          </cell>
          <cell r="F119" t="str">
            <v>已婚</v>
          </cell>
          <cell r="G119" t="str">
            <v>农业</v>
          </cell>
        </row>
        <row r="119">
          <cell r="I119" t="str">
            <v>15182840749</v>
          </cell>
          <cell r="J119" t="str">
            <v>石板街道</v>
          </cell>
          <cell r="K119" t="str">
            <v>关渡村</v>
          </cell>
          <cell r="L119" t="str">
            <v>四川省达县石板镇关渡村8组</v>
          </cell>
          <cell r="M119" t="str">
            <v>四川省达县石板镇关渡村8组</v>
          </cell>
        </row>
        <row r="119">
          <cell r="R119" t="str">
            <v>51302119680906097544</v>
          </cell>
          <cell r="S119" t="str">
            <v>肢体</v>
          </cell>
          <cell r="T119" t="str">
            <v>四级</v>
          </cell>
          <cell r="U119" t="str">
            <v>肢体四级;</v>
          </cell>
        </row>
        <row r="120">
          <cell r="B120" t="str">
            <v>513021197102060458</v>
          </cell>
          <cell r="C120" t="str">
            <v>男</v>
          </cell>
          <cell r="D120" t="str">
            <v>汉族</v>
          </cell>
          <cell r="E120" t="str">
            <v>小学</v>
          </cell>
          <cell r="F120" t="str">
            <v>丧偶</v>
          </cell>
          <cell r="G120" t="str">
            <v>农业</v>
          </cell>
        </row>
        <row r="120">
          <cell r="I120" t="str">
            <v>17780989619</v>
          </cell>
          <cell r="J120" t="str">
            <v>石板街道</v>
          </cell>
          <cell r="K120" t="str">
            <v>关渡村</v>
          </cell>
          <cell r="L120" t="str">
            <v>四川省达州市达川区石板街道关渡村1组</v>
          </cell>
          <cell r="M120" t="str">
            <v>四川省达州市达川区石板街道关渡村1组</v>
          </cell>
          <cell r="N120" t="str">
            <v>潘明珍</v>
          </cell>
          <cell r="O120" t="str">
            <v>父母</v>
          </cell>
        </row>
        <row r="120">
          <cell r="Q120" t="str">
            <v>17780989619</v>
          </cell>
          <cell r="R120" t="str">
            <v>51302119710206045862</v>
          </cell>
          <cell r="S120" t="str">
            <v>精神</v>
          </cell>
          <cell r="T120" t="str">
            <v>二级</v>
          </cell>
          <cell r="U120" t="str">
            <v>精神二级;</v>
          </cell>
        </row>
        <row r="121">
          <cell r="B121" t="str">
            <v>513021195503140441</v>
          </cell>
          <cell r="C121" t="str">
            <v>女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15583759817</v>
          </cell>
          <cell r="J121" t="str">
            <v>石板街道</v>
          </cell>
          <cell r="K121" t="str">
            <v>关渡村</v>
          </cell>
          <cell r="L121" t="str">
            <v>四川省达州市达川区石板镇街道关渡村1组</v>
          </cell>
          <cell r="M121" t="str">
            <v>四川省达州市达川区石板镇街道关渡村1组</v>
          </cell>
        </row>
        <row r="121">
          <cell r="R121" t="str">
            <v>51302119550314044123</v>
          </cell>
          <cell r="S121" t="str">
            <v>听力</v>
          </cell>
          <cell r="T121" t="str">
            <v>三级</v>
          </cell>
          <cell r="U121" t="str">
            <v>听力三级;</v>
          </cell>
        </row>
        <row r="122">
          <cell r="B122" t="str">
            <v>513021195111010461</v>
          </cell>
          <cell r="C122" t="str">
            <v>女</v>
          </cell>
          <cell r="D122" t="str">
            <v>汉族</v>
          </cell>
          <cell r="E122" t="str">
            <v>文盲</v>
          </cell>
          <cell r="F122" t="str">
            <v>已婚</v>
          </cell>
          <cell r="G122" t="str">
            <v>农业</v>
          </cell>
        </row>
        <row r="122">
          <cell r="I122" t="str">
            <v>0000000</v>
          </cell>
          <cell r="J122" t="str">
            <v>石板街道</v>
          </cell>
          <cell r="K122" t="str">
            <v>关渡村</v>
          </cell>
          <cell r="L122" t="str">
            <v>四川省达州市达川区石板镇长青村5组</v>
          </cell>
          <cell r="M122" t="str">
            <v>四川省达县石板镇长青村5组</v>
          </cell>
        </row>
        <row r="122">
          <cell r="R122" t="str">
            <v>51302119511101046113</v>
          </cell>
          <cell r="S122" t="str">
            <v>视力</v>
          </cell>
          <cell r="T122" t="str">
            <v>三级</v>
          </cell>
          <cell r="U122" t="str">
            <v>视力三级;</v>
          </cell>
        </row>
        <row r="123">
          <cell r="B123" t="str">
            <v>51302119480826044X</v>
          </cell>
          <cell r="C123" t="str">
            <v>女</v>
          </cell>
          <cell r="D123" t="str">
            <v>汉族</v>
          </cell>
          <cell r="E123" t="str">
            <v>小学</v>
          </cell>
          <cell r="F123" t="str">
            <v>已婚</v>
          </cell>
          <cell r="G123" t="str">
            <v>农业</v>
          </cell>
        </row>
        <row r="123">
          <cell r="I123" t="str">
            <v>13982856952</v>
          </cell>
          <cell r="J123" t="str">
            <v>石板街道</v>
          </cell>
          <cell r="K123" t="str">
            <v>关渡村</v>
          </cell>
          <cell r="L123" t="str">
            <v>四川省达州市达川区石板街道关渡村5组</v>
          </cell>
          <cell r="M123" t="str">
            <v>四川省达州市达川区石板街道关渡村5组</v>
          </cell>
        </row>
        <row r="123">
          <cell r="R123" t="str">
            <v>51302119480826044X43</v>
          </cell>
          <cell r="S123" t="str">
            <v>肢体</v>
          </cell>
          <cell r="T123" t="str">
            <v>三级</v>
          </cell>
          <cell r="U123" t="str">
            <v>肢体三级;</v>
          </cell>
        </row>
        <row r="124">
          <cell r="B124" t="str">
            <v>513021196606010476</v>
          </cell>
          <cell r="C124" t="str">
            <v>男</v>
          </cell>
          <cell r="D124" t="str">
            <v>汉族</v>
          </cell>
          <cell r="E124" t="str">
            <v>初中</v>
          </cell>
          <cell r="F124" t="str">
            <v>已婚</v>
          </cell>
          <cell r="G124" t="str">
            <v>农业</v>
          </cell>
        </row>
        <row r="124">
          <cell r="I124" t="str">
            <v>18111373539</v>
          </cell>
          <cell r="J124" t="str">
            <v>石板街道</v>
          </cell>
          <cell r="K124" t="str">
            <v>关渡村</v>
          </cell>
          <cell r="L124" t="str">
            <v>四川省达州市达川区石板街道关渡村7组</v>
          </cell>
          <cell r="M124" t="str">
            <v>四川省达州市达川区石板街道关渡村7组</v>
          </cell>
        </row>
        <row r="124">
          <cell r="R124" t="str">
            <v>51302119660601047644</v>
          </cell>
          <cell r="S124" t="str">
            <v>肢体</v>
          </cell>
          <cell r="T124" t="str">
            <v>四级</v>
          </cell>
          <cell r="U124" t="str">
            <v>肢体四级;</v>
          </cell>
        </row>
        <row r="125">
          <cell r="B125" t="str">
            <v>51302119380526044X</v>
          </cell>
          <cell r="C125" t="str">
            <v>女</v>
          </cell>
          <cell r="D125" t="str">
            <v>汉族</v>
          </cell>
          <cell r="E125" t="str">
            <v>小学</v>
          </cell>
          <cell r="F125" t="str">
            <v>丧偶</v>
          </cell>
          <cell r="G125" t="str">
            <v>农业</v>
          </cell>
        </row>
        <row r="125">
          <cell r="I125" t="str">
            <v>13568186302</v>
          </cell>
          <cell r="J125" t="str">
            <v>石板街道</v>
          </cell>
          <cell r="K125" t="str">
            <v>关渡村</v>
          </cell>
          <cell r="L125" t="str">
            <v>四川省达州市达川区石板镇长青村5组</v>
          </cell>
          <cell r="M125" t="str">
            <v>四川省达州市达川区石板镇长青村5组</v>
          </cell>
        </row>
        <row r="125">
          <cell r="R125" t="str">
            <v>51302119380526044X13</v>
          </cell>
          <cell r="S125" t="str">
            <v>视力</v>
          </cell>
          <cell r="T125" t="str">
            <v>三级</v>
          </cell>
          <cell r="U125" t="str">
            <v>视力三级;</v>
          </cell>
        </row>
        <row r="126">
          <cell r="B126" t="str">
            <v>513021195803260445</v>
          </cell>
          <cell r="C126" t="str">
            <v>女</v>
          </cell>
          <cell r="D126" t="str">
            <v>汉族</v>
          </cell>
          <cell r="E126" t="str">
            <v>小学</v>
          </cell>
          <cell r="F126" t="str">
            <v>已婚</v>
          </cell>
          <cell r="G126" t="str">
            <v>农业</v>
          </cell>
        </row>
        <row r="126">
          <cell r="I126" t="str">
            <v>15328039739</v>
          </cell>
          <cell r="J126" t="str">
            <v>石板街道</v>
          </cell>
          <cell r="K126" t="str">
            <v>关渡村</v>
          </cell>
          <cell r="L126" t="str">
            <v>四川省达州市达川区石板镇关渡村15组</v>
          </cell>
          <cell r="M126" t="str">
            <v>四川省达州市达川区石板镇关渡村15组</v>
          </cell>
        </row>
        <row r="126">
          <cell r="R126" t="str">
            <v>51302119580326044544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511721201103228983</v>
          </cell>
          <cell r="C127" t="str">
            <v>女</v>
          </cell>
          <cell r="D127" t="str">
            <v>汉族</v>
          </cell>
          <cell r="E127" t="str">
            <v>文盲</v>
          </cell>
          <cell r="F127" t="str">
            <v>未婚</v>
          </cell>
          <cell r="G127" t="str">
            <v>农业</v>
          </cell>
        </row>
        <row r="127">
          <cell r="I127" t="str">
            <v>15281805919</v>
          </cell>
          <cell r="J127" t="str">
            <v>石板街道</v>
          </cell>
          <cell r="K127" t="str">
            <v>关渡村</v>
          </cell>
          <cell r="L127" t="str">
            <v>四川省达州市达川区石板镇关渡村2组</v>
          </cell>
          <cell r="M127" t="str">
            <v>四川省达县</v>
          </cell>
          <cell r="N127" t="str">
            <v>翟兰英</v>
          </cell>
          <cell r="O127" t="str">
            <v>父母</v>
          </cell>
        </row>
        <row r="127">
          <cell r="Q127" t="str">
            <v>15281805919</v>
          </cell>
          <cell r="R127" t="str">
            <v>51172120110322898352</v>
          </cell>
          <cell r="S127" t="str">
            <v>智力</v>
          </cell>
          <cell r="T127" t="str">
            <v>二级</v>
          </cell>
          <cell r="U127" t="str">
            <v>智力二级;</v>
          </cell>
        </row>
        <row r="128">
          <cell r="B128" t="str">
            <v>513021197008240452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18620895296</v>
          </cell>
          <cell r="J128" t="str">
            <v>石板街道</v>
          </cell>
          <cell r="K128" t="str">
            <v>关渡村</v>
          </cell>
          <cell r="L128" t="str">
            <v>四川省达县石板镇关渡村5组</v>
          </cell>
          <cell r="M128" t="str">
            <v>四川省达县石板镇关渡村5组</v>
          </cell>
        </row>
        <row r="128">
          <cell r="R128" t="str">
            <v>51302119700824045244</v>
          </cell>
          <cell r="S128" t="str">
            <v>肢体</v>
          </cell>
          <cell r="T128" t="str">
            <v>四级</v>
          </cell>
          <cell r="U128" t="str">
            <v>肢体四级;</v>
          </cell>
        </row>
        <row r="129">
          <cell r="B129" t="str">
            <v>51302119511215044X</v>
          </cell>
          <cell r="C129" t="str">
            <v>女</v>
          </cell>
          <cell r="D129" t="str">
            <v>汉族</v>
          </cell>
          <cell r="E129" t="str">
            <v>小学</v>
          </cell>
          <cell r="F129" t="str">
            <v>已婚</v>
          </cell>
          <cell r="G129" t="str">
            <v>农业</v>
          </cell>
        </row>
        <row r="129">
          <cell r="I129" t="str">
            <v>18381925341</v>
          </cell>
          <cell r="J129" t="str">
            <v>石板街道</v>
          </cell>
          <cell r="K129" t="str">
            <v>关渡村</v>
          </cell>
          <cell r="L129" t="str">
            <v>四川省达州市达川区石板街道关渡村2组</v>
          </cell>
          <cell r="M129" t="str">
            <v>四川省达州市达川区石板街道关渡村2组</v>
          </cell>
        </row>
        <row r="129">
          <cell r="R129" t="str">
            <v>51302119511215044X44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513021195009280465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13458179098</v>
          </cell>
          <cell r="J130" t="str">
            <v>石板街道</v>
          </cell>
          <cell r="K130" t="str">
            <v>关渡村</v>
          </cell>
          <cell r="L130" t="str">
            <v>四川省达州市达川区石板镇关渡村2组</v>
          </cell>
          <cell r="M130" t="str">
            <v>四川省达州市达川区石板镇关渡村2组</v>
          </cell>
        </row>
        <row r="130">
          <cell r="R130" t="str">
            <v>51302119500928046512</v>
          </cell>
          <cell r="S130" t="str">
            <v>视力</v>
          </cell>
          <cell r="T130" t="str">
            <v>二级</v>
          </cell>
          <cell r="U130" t="str">
            <v>视力二级;</v>
          </cell>
        </row>
        <row r="131">
          <cell r="B131" t="str">
            <v>513021195010270440</v>
          </cell>
          <cell r="C131" t="str">
            <v>女</v>
          </cell>
          <cell r="D131" t="str">
            <v>汉族</v>
          </cell>
          <cell r="E131" t="str">
            <v>小学</v>
          </cell>
          <cell r="F131" t="str">
            <v>已婚</v>
          </cell>
          <cell r="G131" t="str">
            <v>农业</v>
          </cell>
        </row>
        <row r="131">
          <cell r="I131" t="str">
            <v>15281852060</v>
          </cell>
          <cell r="J131" t="str">
            <v>石板街道</v>
          </cell>
          <cell r="K131" t="str">
            <v>关渡村</v>
          </cell>
          <cell r="L131" t="str">
            <v>四川省达州市达川区石板镇关渡村2组</v>
          </cell>
          <cell r="M131" t="str">
            <v>四川省达州市达县石板镇关渡村</v>
          </cell>
        </row>
        <row r="131">
          <cell r="R131" t="str">
            <v>51302119501027044023</v>
          </cell>
          <cell r="S131" t="str">
            <v>听力</v>
          </cell>
          <cell r="T131" t="str">
            <v>三级</v>
          </cell>
          <cell r="U131" t="str">
            <v>听力三级;</v>
          </cell>
        </row>
        <row r="132">
          <cell r="B132" t="str">
            <v>513021194608090458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18808247128</v>
          </cell>
          <cell r="J132" t="str">
            <v>石板街道</v>
          </cell>
          <cell r="K132" t="str">
            <v>关渡村</v>
          </cell>
          <cell r="L132" t="str">
            <v>四川省达州市达川区石板镇关渡村1组</v>
          </cell>
          <cell r="M132" t="str">
            <v>四川省达州市达川区石板镇关渡村1组</v>
          </cell>
        </row>
        <row r="132">
          <cell r="R132" t="str">
            <v>51302119460809045844</v>
          </cell>
          <cell r="S132" t="str">
            <v>肢体</v>
          </cell>
          <cell r="T132" t="str">
            <v>四级</v>
          </cell>
          <cell r="U132" t="str">
            <v>肢体四级;</v>
          </cell>
        </row>
        <row r="133">
          <cell r="B133" t="str">
            <v>513022197005036823</v>
          </cell>
          <cell r="C133" t="str">
            <v>女</v>
          </cell>
          <cell r="D133" t="str">
            <v>汉族</v>
          </cell>
          <cell r="E133" t="str">
            <v>小学</v>
          </cell>
          <cell r="F133" t="str">
            <v>已婚</v>
          </cell>
          <cell r="G133" t="str">
            <v>农业</v>
          </cell>
        </row>
        <row r="133">
          <cell r="I133" t="str">
            <v>15182851227</v>
          </cell>
          <cell r="J133" t="str">
            <v>石板街道</v>
          </cell>
          <cell r="K133" t="str">
            <v>关渡村</v>
          </cell>
          <cell r="L133" t="str">
            <v>四川省达州市达川区石板镇关渡村6组</v>
          </cell>
          <cell r="M133" t="str">
            <v>四川省达州市达川区石板镇关渡村6组</v>
          </cell>
        </row>
        <row r="133">
          <cell r="R133" t="str">
            <v>51302219700503682344</v>
          </cell>
          <cell r="S133" t="str">
            <v>肢体</v>
          </cell>
          <cell r="T133" t="str">
            <v>四级</v>
          </cell>
          <cell r="U133" t="str">
            <v>肢体四级;</v>
          </cell>
        </row>
        <row r="134">
          <cell r="B134" t="str">
            <v>511721200110045718</v>
          </cell>
          <cell r="C134" t="str">
            <v>男</v>
          </cell>
          <cell r="D134" t="str">
            <v>汉族</v>
          </cell>
          <cell r="E134" t="str">
            <v>高中</v>
          </cell>
          <cell r="F134" t="str">
            <v>未婚</v>
          </cell>
          <cell r="G134" t="str">
            <v>农业</v>
          </cell>
        </row>
        <row r="134">
          <cell r="I134" t="str">
            <v>13518241589</v>
          </cell>
          <cell r="J134" t="str">
            <v>石板街道</v>
          </cell>
          <cell r="K134" t="str">
            <v>关渡村</v>
          </cell>
          <cell r="L134" t="str">
            <v>四川省达州市达川区石板街道关渡村6组</v>
          </cell>
          <cell r="M134" t="str">
            <v>四川省达州市达川区石板街道关渡村6组</v>
          </cell>
        </row>
        <row r="134">
          <cell r="R134" t="str">
            <v>51172120011004571832</v>
          </cell>
          <cell r="S134" t="str">
            <v>言语</v>
          </cell>
          <cell r="T134" t="str">
            <v>二级</v>
          </cell>
          <cell r="U134" t="str">
            <v>言语二级;</v>
          </cell>
        </row>
        <row r="135">
          <cell r="B135" t="str">
            <v>513021195812070440</v>
          </cell>
          <cell r="C135" t="str">
            <v>女</v>
          </cell>
          <cell r="D135" t="str">
            <v>汉族</v>
          </cell>
          <cell r="E135" t="str">
            <v>小学</v>
          </cell>
          <cell r="F135" t="str">
            <v>已婚</v>
          </cell>
          <cell r="G135" t="str">
            <v>农业</v>
          </cell>
        </row>
        <row r="135">
          <cell r="I135" t="str">
            <v>17032081894</v>
          </cell>
          <cell r="J135" t="str">
            <v>石板街道</v>
          </cell>
          <cell r="K135" t="str">
            <v>关渡村</v>
          </cell>
          <cell r="L135" t="str">
            <v>四川省达州市达川区石板街道关渡村6组</v>
          </cell>
          <cell r="M135" t="str">
            <v>四川省达州市达川区石板街道关渡村6组</v>
          </cell>
        </row>
        <row r="135">
          <cell r="R135" t="str">
            <v>51302119581207044043</v>
          </cell>
          <cell r="S135" t="str">
            <v>肢体</v>
          </cell>
          <cell r="T135" t="str">
            <v>三级</v>
          </cell>
          <cell r="U135" t="str">
            <v>肢体三级;</v>
          </cell>
        </row>
        <row r="136">
          <cell r="B136" t="str">
            <v>511721201410295721</v>
          </cell>
          <cell r="C136" t="str">
            <v>女</v>
          </cell>
          <cell r="D136" t="str">
            <v>汉族</v>
          </cell>
          <cell r="E136" t="str">
            <v>文盲</v>
          </cell>
          <cell r="F136" t="str">
            <v>未婚</v>
          </cell>
          <cell r="G136" t="str">
            <v>农业</v>
          </cell>
        </row>
        <row r="136">
          <cell r="I136" t="str">
            <v>15281899159</v>
          </cell>
          <cell r="J136" t="str">
            <v>石板街道</v>
          </cell>
          <cell r="K136" t="str">
            <v>关渡村</v>
          </cell>
          <cell r="L136" t="str">
            <v>四川省达州市达川区石板街道关渡村5组</v>
          </cell>
          <cell r="M136" t="str">
            <v>四川省达州市达川区石板街道关渡村5组</v>
          </cell>
          <cell r="N136" t="str">
            <v>庞灵枢</v>
          </cell>
          <cell r="O136" t="str">
            <v>父母</v>
          </cell>
        </row>
        <row r="136">
          <cell r="Q136" t="str">
            <v>15281899159</v>
          </cell>
          <cell r="R136" t="str">
            <v>51172120141029572114</v>
          </cell>
          <cell r="S136" t="str">
            <v>视力</v>
          </cell>
          <cell r="T136" t="str">
            <v>四级</v>
          </cell>
          <cell r="U136" t="str">
            <v>视力四级;</v>
          </cell>
        </row>
        <row r="137">
          <cell r="B137" t="str">
            <v>513021196305270450</v>
          </cell>
          <cell r="C137" t="str">
            <v>男</v>
          </cell>
          <cell r="D137" t="str">
            <v>汉族</v>
          </cell>
          <cell r="E137" t="str">
            <v>文盲</v>
          </cell>
          <cell r="F137" t="str">
            <v>已婚</v>
          </cell>
          <cell r="G137" t="str">
            <v>农业</v>
          </cell>
        </row>
        <row r="137">
          <cell r="I137" t="str">
            <v>17828868510</v>
          </cell>
          <cell r="J137" t="str">
            <v>石板街道</v>
          </cell>
          <cell r="K137" t="str">
            <v>关渡村</v>
          </cell>
          <cell r="L137" t="str">
            <v>四川省达州市达川区石板街道长青村1组</v>
          </cell>
          <cell r="M137" t="str">
            <v>四川省达州市达川区石板街道长青村1组</v>
          </cell>
        </row>
        <row r="137">
          <cell r="R137" t="str">
            <v>51302119630527045043</v>
          </cell>
          <cell r="S137" t="str">
            <v>肢体</v>
          </cell>
          <cell r="T137" t="str">
            <v>三级</v>
          </cell>
          <cell r="U137" t="str">
            <v>肢体三级;</v>
          </cell>
        </row>
        <row r="138">
          <cell r="B138" t="str">
            <v>513021196503020452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已婚</v>
          </cell>
          <cell r="G138" t="str">
            <v>农业</v>
          </cell>
        </row>
        <row r="138">
          <cell r="I138" t="str">
            <v>13281722207</v>
          </cell>
          <cell r="J138" t="str">
            <v>石板街道</v>
          </cell>
          <cell r="K138" t="str">
            <v>关渡村</v>
          </cell>
          <cell r="L138" t="str">
            <v>四川省达州市达川区石板街道长青村2组</v>
          </cell>
          <cell r="M138" t="str">
            <v>四川省达州市达川区石板街道长青村2组</v>
          </cell>
        </row>
        <row r="138">
          <cell r="R138" t="str">
            <v>51302119650302045243</v>
          </cell>
          <cell r="S138" t="str">
            <v>肢体</v>
          </cell>
          <cell r="T138" t="str">
            <v>三级</v>
          </cell>
          <cell r="U138" t="str">
            <v>肢体三级;</v>
          </cell>
        </row>
        <row r="139">
          <cell r="B139" t="str">
            <v>513021195612190456</v>
          </cell>
          <cell r="C139" t="str">
            <v>男</v>
          </cell>
          <cell r="D139" t="str">
            <v>汉族</v>
          </cell>
          <cell r="E139" t="str">
            <v>初中</v>
          </cell>
          <cell r="F139" t="str">
            <v>已婚</v>
          </cell>
          <cell r="G139" t="str">
            <v>农业</v>
          </cell>
        </row>
        <row r="139">
          <cell r="I139" t="str">
            <v>18912715865</v>
          </cell>
          <cell r="J139" t="str">
            <v>石板街道</v>
          </cell>
          <cell r="K139" t="str">
            <v>关渡村</v>
          </cell>
          <cell r="L139" t="str">
            <v>江苏省苏州市吴江区江陵街道山湖社区嘉晖苑31幢304室</v>
          </cell>
          <cell r="M139" t="str">
            <v>四川省达州市达川区石板街道关渡村5组</v>
          </cell>
          <cell r="N139" t="str">
            <v>李明兰</v>
          </cell>
          <cell r="O139" t="str">
            <v>配偶</v>
          </cell>
        </row>
        <row r="139">
          <cell r="Q139" t="str">
            <v>15162503872</v>
          </cell>
          <cell r="R139" t="str">
            <v>51302119561219045642</v>
          </cell>
          <cell r="S139" t="str">
            <v>肢体</v>
          </cell>
          <cell r="T139" t="str">
            <v>二级</v>
          </cell>
          <cell r="U139" t="str">
            <v>肢体二级;</v>
          </cell>
        </row>
        <row r="140">
          <cell r="B140" t="str">
            <v>513021194602020440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J140" t="str">
            <v>石板街道</v>
          </cell>
          <cell r="K140" t="str">
            <v>铜宝村</v>
          </cell>
          <cell r="L140" t="str">
            <v>四川省达县石板镇铜坪村3组</v>
          </cell>
          <cell r="M140" t="str">
            <v>四川省达县石板镇铜坪村3组</v>
          </cell>
        </row>
        <row r="140">
          <cell r="R140" t="str">
            <v>51302119460202044044</v>
          </cell>
          <cell r="S140" t="str">
            <v>肢体</v>
          </cell>
          <cell r="T140" t="str">
            <v>四级</v>
          </cell>
          <cell r="U140" t="str">
            <v>肢体四级;</v>
          </cell>
        </row>
        <row r="141">
          <cell r="B141" t="str">
            <v>513021195804020443</v>
          </cell>
          <cell r="C141" t="str">
            <v>女</v>
          </cell>
          <cell r="D141" t="str">
            <v>汉族</v>
          </cell>
          <cell r="E141" t="str">
            <v>初中</v>
          </cell>
          <cell r="F141" t="str">
            <v>已婚</v>
          </cell>
          <cell r="G141" t="str">
            <v>农业</v>
          </cell>
        </row>
        <row r="141">
          <cell r="I141" t="str">
            <v>13551407358</v>
          </cell>
          <cell r="J141" t="str">
            <v>石板街道</v>
          </cell>
          <cell r="K141" t="str">
            <v>铜宝村</v>
          </cell>
          <cell r="L141" t="str">
            <v>四川省达州市达川区石板镇铜坪村2组</v>
          </cell>
          <cell r="M141" t="str">
            <v>四川省达州市达川区石板镇铜坪村2组</v>
          </cell>
          <cell r="N141" t="str">
            <v>杨甫奎</v>
          </cell>
          <cell r="O141" t="str">
            <v>配偶</v>
          </cell>
        </row>
        <row r="141">
          <cell r="Q141" t="str">
            <v>18208197291</v>
          </cell>
          <cell r="R141" t="str">
            <v>51302119580402044344</v>
          </cell>
          <cell r="S141" t="str">
            <v>肢体</v>
          </cell>
          <cell r="T141" t="str">
            <v>四级</v>
          </cell>
          <cell r="U141" t="str">
            <v>肢体四级;</v>
          </cell>
        </row>
        <row r="142">
          <cell r="B142" t="str">
            <v>513021194112080459</v>
          </cell>
          <cell r="C142" t="str">
            <v>男</v>
          </cell>
          <cell r="D142" t="str">
            <v>汉族</v>
          </cell>
          <cell r="E142" t="str">
            <v>小学</v>
          </cell>
          <cell r="F142" t="str">
            <v>已婚</v>
          </cell>
          <cell r="G142" t="str">
            <v>非农业</v>
          </cell>
        </row>
        <row r="142">
          <cell r="I142" t="str">
            <v>13281739535</v>
          </cell>
          <cell r="J142" t="str">
            <v>石板街道</v>
          </cell>
          <cell r="K142" t="str">
            <v>铜宝村</v>
          </cell>
          <cell r="L142" t="str">
            <v>四川省达州市达川区石板街道石板社区政府街600号</v>
          </cell>
          <cell r="M142" t="str">
            <v>四川省达州市达川区石板街道石板社区政府街600号</v>
          </cell>
          <cell r="N142" t="str">
            <v>潘学碧</v>
          </cell>
          <cell r="O142" t="str">
            <v>配偶</v>
          </cell>
        </row>
        <row r="142">
          <cell r="R142" t="str">
            <v>51302119411208045914</v>
          </cell>
          <cell r="S142" t="str">
            <v>视力</v>
          </cell>
          <cell r="T142" t="str">
            <v>四级</v>
          </cell>
          <cell r="U142" t="str">
            <v>视力四级;</v>
          </cell>
        </row>
        <row r="143">
          <cell r="B143" t="str">
            <v>513021197904080469</v>
          </cell>
          <cell r="C143" t="str">
            <v>女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15182890286</v>
          </cell>
          <cell r="J143" t="str">
            <v>石板街道</v>
          </cell>
          <cell r="K143" t="str">
            <v>铜宝村</v>
          </cell>
          <cell r="L143" t="str">
            <v>四川省达州市达川区石板镇铜坪村2组</v>
          </cell>
          <cell r="M143" t="str">
            <v>四川省达州市达川区石板镇铜坪村2组</v>
          </cell>
          <cell r="N143" t="str">
            <v>杨甫富</v>
          </cell>
          <cell r="O143" t="str">
            <v>父母</v>
          </cell>
        </row>
        <row r="143">
          <cell r="Q143" t="str">
            <v>15881847861</v>
          </cell>
          <cell r="R143" t="str">
            <v>51302119790408046963</v>
          </cell>
          <cell r="S143" t="str">
            <v>精神</v>
          </cell>
          <cell r="T143" t="str">
            <v>三级</v>
          </cell>
          <cell r="U143" t="str">
            <v>精神三级;</v>
          </cell>
        </row>
        <row r="144">
          <cell r="B144" t="str">
            <v>513021196010100446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18780830436</v>
          </cell>
          <cell r="J144" t="str">
            <v>石板街道</v>
          </cell>
          <cell r="K144" t="str">
            <v>铜宝村</v>
          </cell>
          <cell r="L144" t="str">
            <v>四川省达州市达川区石板镇铜宝村4组</v>
          </cell>
          <cell r="M144" t="str">
            <v>四川省达州市达川区石板镇铜宝村4组</v>
          </cell>
          <cell r="N144" t="str">
            <v>陈正高</v>
          </cell>
          <cell r="O144" t="str">
            <v>配偶</v>
          </cell>
        </row>
        <row r="144">
          <cell r="R144" t="str">
            <v>51302119601010044643</v>
          </cell>
          <cell r="S144" t="str">
            <v>肢体</v>
          </cell>
          <cell r="T144" t="str">
            <v>三级</v>
          </cell>
          <cell r="U144" t="str">
            <v>肢体三级;</v>
          </cell>
        </row>
        <row r="145">
          <cell r="B145" t="str">
            <v>513021196604251671</v>
          </cell>
          <cell r="C145" t="str">
            <v>男</v>
          </cell>
          <cell r="D145" t="str">
            <v>汉族</v>
          </cell>
          <cell r="E145" t="str">
            <v>初中</v>
          </cell>
          <cell r="F145" t="str">
            <v>已婚</v>
          </cell>
          <cell r="G145" t="str">
            <v>农业</v>
          </cell>
        </row>
        <row r="145">
          <cell r="I145" t="str">
            <v>15999892182</v>
          </cell>
          <cell r="J145" t="str">
            <v>石板街道</v>
          </cell>
          <cell r="K145" t="str">
            <v>铜宝村</v>
          </cell>
          <cell r="L145" t="str">
            <v>四川省达州市达川区石板镇铜坪村1组313号</v>
          </cell>
          <cell r="M145" t="str">
            <v>四川省达州市达川区石板镇铜坪村1组313号</v>
          </cell>
          <cell r="N145" t="str">
            <v>潘传菊</v>
          </cell>
          <cell r="O145" t="str">
            <v>配偶</v>
          </cell>
        </row>
        <row r="145">
          <cell r="R145" t="str">
            <v>51302119660425167143</v>
          </cell>
          <cell r="S145" t="str">
            <v>肢体</v>
          </cell>
          <cell r="T145" t="str">
            <v>三级</v>
          </cell>
          <cell r="U145" t="str">
            <v>肢体三级;</v>
          </cell>
        </row>
        <row r="146">
          <cell r="B146" t="str">
            <v>513021194601090455</v>
          </cell>
          <cell r="C146" t="str">
            <v>男</v>
          </cell>
          <cell r="D146" t="str">
            <v>汉族</v>
          </cell>
          <cell r="E146" t="str">
            <v>初中</v>
          </cell>
          <cell r="F146" t="str">
            <v>已婚</v>
          </cell>
          <cell r="G146" t="str">
            <v>非农业</v>
          </cell>
        </row>
        <row r="146">
          <cell r="I146" t="str">
            <v>18581810796</v>
          </cell>
          <cell r="J146" t="str">
            <v>石板街道</v>
          </cell>
          <cell r="K146" t="str">
            <v>铜宝村</v>
          </cell>
          <cell r="L146" t="str">
            <v>四川省达州市达川区石板镇政府街600号</v>
          </cell>
          <cell r="M146" t="str">
            <v>四川省达州市达川区石板镇政府街600号</v>
          </cell>
          <cell r="N146" t="str">
            <v>张光碧</v>
          </cell>
          <cell r="O146" t="str">
            <v>配偶</v>
          </cell>
        </row>
        <row r="146">
          <cell r="R146" t="str">
            <v>51302119460109045523</v>
          </cell>
          <cell r="S146" t="str">
            <v>听力</v>
          </cell>
          <cell r="T146" t="str">
            <v>三级</v>
          </cell>
          <cell r="U146" t="str">
            <v>听力三级;</v>
          </cell>
        </row>
        <row r="147">
          <cell r="B147" t="str">
            <v>51302119321013046X</v>
          </cell>
          <cell r="C147" t="str">
            <v>女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13684205988</v>
          </cell>
          <cell r="J147" t="str">
            <v>石板街道</v>
          </cell>
          <cell r="K147" t="str">
            <v>铜宝村</v>
          </cell>
          <cell r="L147" t="str">
            <v>四川省达州市达川区石板镇铜坪村2组</v>
          </cell>
          <cell r="M147" t="str">
            <v>四川省达州市达川区石板镇铜坪村2组</v>
          </cell>
        </row>
        <row r="147">
          <cell r="O147" t="str">
            <v>配偶</v>
          </cell>
        </row>
        <row r="147">
          <cell r="R147" t="str">
            <v>51302119321013046X44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513021197409030456</v>
          </cell>
          <cell r="C148" t="str">
            <v>男</v>
          </cell>
          <cell r="D148" t="str">
            <v>汉族</v>
          </cell>
          <cell r="E148" t="str">
            <v>小学</v>
          </cell>
          <cell r="F148" t="str">
            <v>未婚</v>
          </cell>
          <cell r="G148" t="str">
            <v>农业</v>
          </cell>
        </row>
        <row r="148">
          <cell r="I148" t="str">
            <v>18282237158</v>
          </cell>
          <cell r="J148" t="str">
            <v>石板街道</v>
          </cell>
          <cell r="K148" t="str">
            <v>铜宝村</v>
          </cell>
          <cell r="L148" t="str">
            <v>四川省达州市达川区石板镇铜宝村1组84号</v>
          </cell>
          <cell r="M148" t="str">
            <v>四川省达州市达川区石板镇铜宝村1组84号</v>
          </cell>
          <cell r="N148" t="str">
            <v>陈敏</v>
          </cell>
        </row>
        <row r="148">
          <cell r="R148" t="str">
            <v>51302119740903045643</v>
          </cell>
          <cell r="S148" t="str">
            <v>肢体</v>
          </cell>
          <cell r="T148" t="str">
            <v>三级</v>
          </cell>
          <cell r="U148" t="str">
            <v>肢体三级;</v>
          </cell>
        </row>
        <row r="149">
          <cell r="B149" t="str">
            <v>513021197109180452</v>
          </cell>
          <cell r="C149" t="str">
            <v>男</v>
          </cell>
          <cell r="D149" t="str">
            <v>汉族</v>
          </cell>
          <cell r="E149" t="str">
            <v>初中</v>
          </cell>
          <cell r="F149" t="str">
            <v>已婚</v>
          </cell>
          <cell r="G149" t="str">
            <v>农业</v>
          </cell>
        </row>
        <row r="149">
          <cell r="I149" t="str">
            <v>15196632539</v>
          </cell>
          <cell r="J149" t="str">
            <v>石板街道</v>
          </cell>
          <cell r="K149" t="str">
            <v>铜宝村</v>
          </cell>
          <cell r="L149" t="str">
            <v>四川省达州市达川区石板镇铜宝村4组</v>
          </cell>
          <cell r="M149" t="str">
            <v>四川省达州市达川区石板镇铜宝村4组</v>
          </cell>
        </row>
        <row r="149">
          <cell r="R149" t="str">
            <v>51302119710918045244</v>
          </cell>
          <cell r="S149" t="str">
            <v>肢体</v>
          </cell>
          <cell r="T149" t="str">
            <v>四级</v>
          </cell>
          <cell r="U149" t="str">
            <v>肢体四级;</v>
          </cell>
        </row>
        <row r="150">
          <cell r="B150" t="str">
            <v>513021199607270484</v>
          </cell>
          <cell r="C150" t="str">
            <v>女</v>
          </cell>
          <cell r="D150" t="str">
            <v>汉族</v>
          </cell>
          <cell r="E150" t="str">
            <v>文盲</v>
          </cell>
          <cell r="F150" t="str">
            <v>未婚</v>
          </cell>
          <cell r="G150" t="str">
            <v>农业</v>
          </cell>
        </row>
        <row r="150">
          <cell r="I150" t="str">
            <v>18682893253</v>
          </cell>
          <cell r="J150" t="str">
            <v>石板街道</v>
          </cell>
          <cell r="K150" t="str">
            <v>铜宝村</v>
          </cell>
          <cell r="L150" t="str">
            <v>四川省达州市达川区石板镇铜宝村4组</v>
          </cell>
          <cell r="M150" t="str">
            <v>四川省达县石板镇铜宝村4组</v>
          </cell>
          <cell r="N150" t="str">
            <v>唐富金</v>
          </cell>
          <cell r="O150" t="str">
            <v>配偶</v>
          </cell>
        </row>
        <row r="150">
          <cell r="Q150" t="str">
            <v>18682893253</v>
          </cell>
          <cell r="R150" t="str">
            <v>51302119960727048472</v>
          </cell>
          <cell r="S150" t="str">
            <v>多重</v>
          </cell>
          <cell r="T150" t="str">
            <v>二级</v>
          </cell>
          <cell r="U150" t="str">
            <v>听力二级;言语二级;</v>
          </cell>
        </row>
        <row r="151">
          <cell r="B151" t="str">
            <v>513021196810110474</v>
          </cell>
          <cell r="C151" t="str">
            <v>男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14726672309</v>
          </cell>
          <cell r="J151" t="str">
            <v>石板街道</v>
          </cell>
          <cell r="K151" t="str">
            <v>铜宝村</v>
          </cell>
          <cell r="L151" t="str">
            <v>四川省达州市达川区石板镇铜坪村2组</v>
          </cell>
          <cell r="M151" t="str">
            <v>四川省达州市达川区石板镇铜坪村2组</v>
          </cell>
        </row>
        <row r="151">
          <cell r="O151" t="str">
            <v>父母</v>
          </cell>
        </row>
        <row r="151">
          <cell r="R151" t="str">
            <v>51302119681011047444</v>
          </cell>
          <cell r="S151" t="str">
            <v>肢体</v>
          </cell>
          <cell r="T151" t="str">
            <v>四级</v>
          </cell>
          <cell r="U151" t="str">
            <v>肢体四级;</v>
          </cell>
        </row>
        <row r="152">
          <cell r="B152" t="str">
            <v>513021196807030457</v>
          </cell>
          <cell r="C152" t="str">
            <v>男</v>
          </cell>
          <cell r="D152" t="str">
            <v>汉族</v>
          </cell>
          <cell r="E152" t="str">
            <v>文盲</v>
          </cell>
          <cell r="F152" t="str">
            <v>未婚</v>
          </cell>
          <cell r="G152" t="str">
            <v>农业</v>
          </cell>
        </row>
        <row r="152">
          <cell r="I152" t="str">
            <v>13281721608</v>
          </cell>
          <cell r="J152" t="str">
            <v>石板街道</v>
          </cell>
          <cell r="K152" t="str">
            <v>铜宝村</v>
          </cell>
          <cell r="L152" t="str">
            <v>四川省达州市达川区石板镇铜坪村3组</v>
          </cell>
          <cell r="M152" t="str">
            <v>四川省达州市达川区石板镇铜坪村3组</v>
          </cell>
          <cell r="N152" t="str">
            <v>王洪元</v>
          </cell>
          <cell r="O152" t="str">
            <v>父母</v>
          </cell>
        </row>
        <row r="152">
          <cell r="Q152" t="str">
            <v>13281420284</v>
          </cell>
          <cell r="R152" t="str">
            <v>51302119680703045753</v>
          </cell>
          <cell r="S152" t="str">
            <v>智力</v>
          </cell>
          <cell r="T152" t="str">
            <v>三级</v>
          </cell>
          <cell r="U152" t="str">
            <v>智力三级;</v>
          </cell>
        </row>
        <row r="153">
          <cell r="B153" t="str">
            <v>51302119481021045X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已婚</v>
          </cell>
          <cell r="G153" t="str">
            <v>农业</v>
          </cell>
        </row>
        <row r="153">
          <cell r="J153" t="str">
            <v>石板街道</v>
          </cell>
          <cell r="K153" t="str">
            <v>铜宝村</v>
          </cell>
          <cell r="L153" t="str">
            <v>四川省达县石板镇铜坪村2组</v>
          </cell>
          <cell r="M153" t="str">
            <v>四川省达县石板镇铜坪村2组</v>
          </cell>
          <cell r="N153" t="str">
            <v>李玉厚</v>
          </cell>
          <cell r="O153" t="str">
            <v>配偶</v>
          </cell>
        </row>
        <row r="153">
          <cell r="Q153" t="str">
            <v>13079011691</v>
          </cell>
          <cell r="R153" t="str">
            <v>51302119481021045X44</v>
          </cell>
          <cell r="S153" t="str">
            <v>肢体</v>
          </cell>
          <cell r="T153" t="str">
            <v>四级</v>
          </cell>
          <cell r="U153" t="str">
            <v>肢体四级;</v>
          </cell>
        </row>
        <row r="154">
          <cell r="B154" t="str">
            <v>513021195403280455</v>
          </cell>
          <cell r="C154" t="str">
            <v>男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18090907590</v>
          </cell>
          <cell r="J154" t="str">
            <v>石板街道</v>
          </cell>
          <cell r="K154" t="str">
            <v>铜宝村</v>
          </cell>
          <cell r="L154" t="str">
            <v>四川省达州市达川区石板镇政府街600号</v>
          </cell>
          <cell r="M154" t="str">
            <v>四川省达州市达川区石板镇政府街600号</v>
          </cell>
          <cell r="N154" t="str">
            <v>李胜银</v>
          </cell>
          <cell r="O154" t="str">
            <v>配偶</v>
          </cell>
        </row>
        <row r="154">
          <cell r="R154" t="str">
            <v>51302119540328045514</v>
          </cell>
          <cell r="S154" t="str">
            <v>视力</v>
          </cell>
          <cell r="T154" t="str">
            <v>四级</v>
          </cell>
          <cell r="U154" t="str">
            <v>视力四级;</v>
          </cell>
        </row>
        <row r="155">
          <cell r="B155" t="str">
            <v>513021194911080455</v>
          </cell>
          <cell r="C155" t="str">
            <v>男</v>
          </cell>
          <cell r="D155" t="str">
            <v>汉族</v>
          </cell>
          <cell r="E155" t="str">
            <v>小学</v>
          </cell>
          <cell r="F155" t="str">
            <v>已婚</v>
          </cell>
          <cell r="G155" t="str">
            <v>农业</v>
          </cell>
        </row>
        <row r="155">
          <cell r="I155" t="str">
            <v>13558546897</v>
          </cell>
          <cell r="J155" t="str">
            <v>石板街道</v>
          </cell>
          <cell r="K155" t="str">
            <v>铜宝村</v>
          </cell>
          <cell r="L155" t="str">
            <v>四川省达州市达川区石板镇铜宝村2组</v>
          </cell>
          <cell r="M155" t="str">
            <v>四川省达州市达川区石板镇铜宝村2组</v>
          </cell>
          <cell r="N155" t="str">
            <v>潘广秀</v>
          </cell>
          <cell r="O155" t="str">
            <v>配偶</v>
          </cell>
        </row>
        <row r="155">
          <cell r="R155" t="str">
            <v>51302119491108045513</v>
          </cell>
          <cell r="S155" t="str">
            <v>视力</v>
          </cell>
          <cell r="T155" t="str">
            <v>三级</v>
          </cell>
          <cell r="U155" t="str">
            <v>视力三级;</v>
          </cell>
        </row>
        <row r="156">
          <cell r="B156" t="str">
            <v>513021194002120456</v>
          </cell>
          <cell r="C156" t="str">
            <v>男</v>
          </cell>
          <cell r="D156" t="str">
            <v>汉族</v>
          </cell>
          <cell r="E156" t="str">
            <v>小学</v>
          </cell>
          <cell r="F156" t="str">
            <v>已婚</v>
          </cell>
          <cell r="G156" t="str">
            <v>农业</v>
          </cell>
        </row>
        <row r="156">
          <cell r="I156" t="str">
            <v>18282291482</v>
          </cell>
          <cell r="J156" t="str">
            <v>石板街道</v>
          </cell>
          <cell r="K156" t="str">
            <v>铜宝村</v>
          </cell>
          <cell r="L156" t="str">
            <v>四川省达州市达川区石板街道铜宝村4组</v>
          </cell>
          <cell r="M156" t="str">
            <v>四川省达州市达川区石板街道铜宝村4组</v>
          </cell>
          <cell r="N156" t="str">
            <v>李仕覃</v>
          </cell>
          <cell r="O156" t="str">
            <v>子</v>
          </cell>
        </row>
        <row r="156">
          <cell r="Q156" t="str">
            <v>18282291482</v>
          </cell>
          <cell r="R156" t="str">
            <v>51302119400212045643</v>
          </cell>
          <cell r="S156" t="str">
            <v>肢体</v>
          </cell>
          <cell r="T156" t="str">
            <v>三级</v>
          </cell>
          <cell r="U156" t="str">
            <v>肢体三级;</v>
          </cell>
        </row>
        <row r="157">
          <cell r="B157" t="str">
            <v>513021197202090451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J157" t="str">
            <v>石板街道</v>
          </cell>
          <cell r="K157" t="str">
            <v>铜宝村</v>
          </cell>
          <cell r="L157" t="str">
            <v>四川省达县石板镇铜坪村2组</v>
          </cell>
          <cell r="M157" t="str">
            <v>四川省达县石板镇铜坪村2组</v>
          </cell>
        </row>
        <row r="157">
          <cell r="R157" t="str">
            <v>51302119720209045124</v>
          </cell>
          <cell r="S157" t="str">
            <v>听力</v>
          </cell>
          <cell r="T157" t="str">
            <v>四级</v>
          </cell>
          <cell r="U157" t="str">
            <v>听力四级;</v>
          </cell>
        </row>
        <row r="158">
          <cell r="B158" t="str">
            <v>513021195012280458</v>
          </cell>
          <cell r="C158" t="str">
            <v>男</v>
          </cell>
          <cell r="D158" t="str">
            <v>汉族</v>
          </cell>
          <cell r="E158" t="str">
            <v>小学</v>
          </cell>
          <cell r="F158" t="str">
            <v>已婚</v>
          </cell>
          <cell r="G158" t="str">
            <v>农业</v>
          </cell>
        </row>
        <row r="158">
          <cell r="I158" t="str">
            <v>0000000</v>
          </cell>
          <cell r="J158" t="str">
            <v>石板街道</v>
          </cell>
          <cell r="K158" t="str">
            <v>铜宝村</v>
          </cell>
          <cell r="L158" t="str">
            <v>四川省达县石板镇铜坪村2组</v>
          </cell>
          <cell r="M158" t="str">
            <v>四川省达县石板镇铜坪村2组</v>
          </cell>
        </row>
        <row r="158">
          <cell r="R158" t="str">
            <v>51302119501228045843</v>
          </cell>
          <cell r="S158" t="str">
            <v>肢体</v>
          </cell>
          <cell r="T158" t="str">
            <v>三级</v>
          </cell>
          <cell r="U158" t="str">
            <v>肢体三级;</v>
          </cell>
        </row>
        <row r="159">
          <cell r="B159" t="str">
            <v>513021197506011679</v>
          </cell>
          <cell r="C159" t="str">
            <v>男</v>
          </cell>
          <cell r="D159" t="str">
            <v>汉族</v>
          </cell>
          <cell r="E159" t="str">
            <v>初中</v>
          </cell>
          <cell r="F159" t="str">
            <v>已婚</v>
          </cell>
          <cell r="G159" t="str">
            <v>农业</v>
          </cell>
        </row>
        <row r="159">
          <cell r="J159" t="str">
            <v>石板街道</v>
          </cell>
          <cell r="K159" t="str">
            <v>铜宝村</v>
          </cell>
          <cell r="L159" t="str">
            <v>四川省达县石板镇铜坪村2组</v>
          </cell>
          <cell r="M159" t="str">
            <v>四川省达县石板镇铜坪村2组</v>
          </cell>
        </row>
        <row r="159">
          <cell r="R159" t="str">
            <v>51302119750601167914</v>
          </cell>
          <cell r="S159" t="str">
            <v>视力</v>
          </cell>
          <cell r="T159" t="str">
            <v>四级</v>
          </cell>
          <cell r="U159" t="str">
            <v>视力四级;</v>
          </cell>
        </row>
        <row r="160">
          <cell r="B160" t="str">
            <v>513021196304130448</v>
          </cell>
          <cell r="C160" t="str">
            <v>女</v>
          </cell>
          <cell r="D160" t="str">
            <v>汉族</v>
          </cell>
          <cell r="E160" t="str">
            <v>文盲</v>
          </cell>
          <cell r="F160" t="str">
            <v>未婚</v>
          </cell>
          <cell r="G160" t="str">
            <v>农业</v>
          </cell>
        </row>
        <row r="160">
          <cell r="I160" t="str">
            <v>17092816230</v>
          </cell>
          <cell r="J160" t="str">
            <v>石板街道</v>
          </cell>
          <cell r="K160" t="str">
            <v>铜宝村</v>
          </cell>
          <cell r="L160" t="str">
            <v>四川省达州市达川区石板镇铜坪村1组</v>
          </cell>
          <cell r="M160" t="str">
            <v>四川省达州市达川区石板镇铜坪村1组</v>
          </cell>
          <cell r="N160" t="str">
            <v>李盛全</v>
          </cell>
          <cell r="O160" t="str">
            <v>父母</v>
          </cell>
        </row>
        <row r="160">
          <cell r="Q160" t="str">
            <v>13979018285</v>
          </cell>
          <cell r="R160" t="str">
            <v>51302119630413044852</v>
          </cell>
          <cell r="S160" t="str">
            <v>智力</v>
          </cell>
          <cell r="T160" t="str">
            <v>二级</v>
          </cell>
          <cell r="U160" t="str">
            <v>智力二级;</v>
          </cell>
        </row>
        <row r="161">
          <cell r="B161" t="str">
            <v>513021196711180450</v>
          </cell>
          <cell r="C161" t="str">
            <v>男</v>
          </cell>
          <cell r="D161" t="str">
            <v>汉族</v>
          </cell>
          <cell r="E161" t="str">
            <v>初中</v>
          </cell>
          <cell r="F161" t="str">
            <v>已婚</v>
          </cell>
          <cell r="G161" t="str">
            <v>农业</v>
          </cell>
        </row>
        <row r="161">
          <cell r="I161" t="str">
            <v>13882807031</v>
          </cell>
          <cell r="J161" t="str">
            <v>石板街道</v>
          </cell>
          <cell r="K161" t="str">
            <v>铜宝村</v>
          </cell>
          <cell r="L161" t="str">
            <v>四川省达州市达川区石板街道铜宝村5组</v>
          </cell>
          <cell r="M161" t="str">
            <v>四川省达州市达川区石板街道铜宝村5组</v>
          </cell>
        </row>
        <row r="161">
          <cell r="R161" t="str">
            <v>51302119671118045044</v>
          </cell>
          <cell r="S161" t="str">
            <v>肢体</v>
          </cell>
          <cell r="T161" t="str">
            <v>四级</v>
          </cell>
          <cell r="U161" t="str">
            <v>肢体四级;</v>
          </cell>
        </row>
        <row r="162">
          <cell r="B162" t="str">
            <v>513021194109140457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0000000000000</v>
          </cell>
          <cell r="J162" t="str">
            <v>石板街道</v>
          </cell>
          <cell r="K162" t="str">
            <v>铜宝村</v>
          </cell>
          <cell r="L162" t="str">
            <v>四川省达州市达川区石板镇铜坪村1组</v>
          </cell>
          <cell r="M162" t="str">
            <v>四川省达州市达川区石板镇铜坪村1组</v>
          </cell>
        </row>
        <row r="162">
          <cell r="R162" t="str">
            <v>51302119410914045744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513021193908030452</v>
          </cell>
          <cell r="C163" t="str">
            <v>男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非农业</v>
          </cell>
        </row>
        <row r="163">
          <cell r="I163" t="str">
            <v>0000000</v>
          </cell>
          <cell r="J163" t="str">
            <v>石板街道</v>
          </cell>
          <cell r="K163" t="str">
            <v>铜宝村</v>
          </cell>
          <cell r="L163" t="str">
            <v>四川省达州市达川区石板镇政府街600号</v>
          </cell>
          <cell r="M163" t="str">
            <v>四川省达州市达川区石板镇政府街600号</v>
          </cell>
        </row>
        <row r="163">
          <cell r="R163" t="str">
            <v>51302119390803045214</v>
          </cell>
          <cell r="S163" t="str">
            <v>视力</v>
          </cell>
          <cell r="T163" t="str">
            <v>四级</v>
          </cell>
          <cell r="U163" t="str">
            <v>视力四级;</v>
          </cell>
        </row>
        <row r="164">
          <cell r="B164" t="str">
            <v>513021198101260452</v>
          </cell>
          <cell r="C164" t="str">
            <v>男</v>
          </cell>
          <cell r="D164" t="str">
            <v>汉族</v>
          </cell>
          <cell r="E164" t="str">
            <v>小学</v>
          </cell>
          <cell r="F164" t="str">
            <v>未婚</v>
          </cell>
          <cell r="G164" t="str">
            <v>农业</v>
          </cell>
        </row>
        <row r="164">
          <cell r="I164" t="str">
            <v>15281856206</v>
          </cell>
          <cell r="J164" t="str">
            <v>石板街道</v>
          </cell>
          <cell r="K164" t="str">
            <v>铜宝村</v>
          </cell>
          <cell r="L164" t="str">
            <v>四川省达州市达川区石板镇铜宝村3组</v>
          </cell>
          <cell r="M164" t="str">
            <v>四川省达州市达川区石板镇铜宝村3组</v>
          </cell>
          <cell r="N164" t="str">
            <v>刘远娟</v>
          </cell>
          <cell r="O164" t="str">
            <v>配偶</v>
          </cell>
        </row>
        <row r="164">
          <cell r="R164" t="str">
            <v>51302119810126045244</v>
          </cell>
          <cell r="S164" t="str">
            <v>肢体</v>
          </cell>
          <cell r="T164" t="str">
            <v>四级</v>
          </cell>
          <cell r="U164" t="str">
            <v>肢体四级;</v>
          </cell>
        </row>
        <row r="165">
          <cell r="B165" t="str">
            <v>513021196911010456</v>
          </cell>
          <cell r="C165" t="str">
            <v>男</v>
          </cell>
          <cell r="D165" t="str">
            <v>汉族</v>
          </cell>
          <cell r="E165" t="str">
            <v>初中</v>
          </cell>
          <cell r="F165" t="str">
            <v>未婚</v>
          </cell>
          <cell r="G165" t="str">
            <v>农业</v>
          </cell>
        </row>
        <row r="165">
          <cell r="I165" t="str">
            <v>00000000000</v>
          </cell>
          <cell r="J165" t="str">
            <v>石板街道</v>
          </cell>
          <cell r="K165" t="str">
            <v>铜宝村</v>
          </cell>
          <cell r="L165" t="str">
            <v>四川省达县石板镇铜宝村1组</v>
          </cell>
          <cell r="M165" t="str">
            <v>四川省达县石板镇铜宝村1组</v>
          </cell>
        </row>
        <row r="165">
          <cell r="R165" t="str">
            <v>51302119691101045644</v>
          </cell>
          <cell r="S165" t="str">
            <v>肢体</v>
          </cell>
          <cell r="T165" t="str">
            <v>四级</v>
          </cell>
          <cell r="U165" t="str">
            <v>肢体四级;</v>
          </cell>
        </row>
        <row r="166">
          <cell r="B166" t="str">
            <v>513021195003290451</v>
          </cell>
          <cell r="C166" t="str">
            <v>男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13350286178</v>
          </cell>
          <cell r="J166" t="str">
            <v>石板街道</v>
          </cell>
          <cell r="K166" t="str">
            <v>铜宝村</v>
          </cell>
          <cell r="L166" t="str">
            <v>四川省达州市达川区石板镇铜宝村3组</v>
          </cell>
          <cell r="M166" t="str">
            <v>四川省达州市达川区石板镇铜宝村3组</v>
          </cell>
        </row>
        <row r="166">
          <cell r="R166" t="str">
            <v>51302119500329045144</v>
          </cell>
          <cell r="S166" t="str">
            <v>肢体</v>
          </cell>
          <cell r="T166" t="str">
            <v>四级</v>
          </cell>
          <cell r="U166" t="str">
            <v>肢体四级;</v>
          </cell>
        </row>
        <row r="167">
          <cell r="B167" t="str">
            <v>513021196301210450</v>
          </cell>
          <cell r="C167" t="str">
            <v>男</v>
          </cell>
          <cell r="D167" t="str">
            <v>汉族</v>
          </cell>
          <cell r="E167" t="str">
            <v>文盲</v>
          </cell>
          <cell r="F167" t="str">
            <v>未婚</v>
          </cell>
          <cell r="G167" t="str">
            <v>农业</v>
          </cell>
        </row>
        <row r="167">
          <cell r="I167" t="str">
            <v>15881847861</v>
          </cell>
          <cell r="J167" t="str">
            <v>石板街道</v>
          </cell>
          <cell r="K167" t="str">
            <v>铜宝村</v>
          </cell>
          <cell r="L167" t="str">
            <v>四川省达州市达川区石板镇铜坪村1组</v>
          </cell>
          <cell r="M167" t="str">
            <v>四川省达州市达川区石板镇铜坪村1组</v>
          </cell>
        </row>
        <row r="167">
          <cell r="R167" t="str">
            <v>51302119630121045071</v>
          </cell>
          <cell r="S167" t="str">
            <v>多重</v>
          </cell>
          <cell r="T167" t="str">
            <v>一级</v>
          </cell>
          <cell r="U167" t="str">
            <v>听力一级;言语一级;</v>
          </cell>
        </row>
        <row r="168">
          <cell r="B168" t="str">
            <v>513021196506070455</v>
          </cell>
          <cell r="C168" t="str">
            <v>男</v>
          </cell>
          <cell r="D168" t="str">
            <v>汉族</v>
          </cell>
          <cell r="E168" t="str">
            <v>初中</v>
          </cell>
          <cell r="F168" t="str">
            <v>未婚</v>
          </cell>
          <cell r="G168" t="str">
            <v>农业</v>
          </cell>
        </row>
        <row r="168">
          <cell r="I168" t="str">
            <v>15882967922</v>
          </cell>
          <cell r="J168" t="str">
            <v>石板街道</v>
          </cell>
          <cell r="K168" t="str">
            <v>铜宝村</v>
          </cell>
          <cell r="L168" t="str">
            <v>四川省达州市达川区石板镇铜宝村4组</v>
          </cell>
          <cell r="M168" t="str">
            <v>四川省达州市达川区石板镇铜宝村4组</v>
          </cell>
        </row>
        <row r="168">
          <cell r="R168" t="str">
            <v>51302119650607045544</v>
          </cell>
          <cell r="S168" t="str">
            <v>肢体</v>
          </cell>
          <cell r="T168" t="str">
            <v>四级</v>
          </cell>
          <cell r="U168" t="str">
            <v>肢体四级;</v>
          </cell>
        </row>
        <row r="169">
          <cell r="B169" t="str">
            <v>513021197011250459</v>
          </cell>
          <cell r="C169" t="str">
            <v>男</v>
          </cell>
          <cell r="D169" t="str">
            <v>汉族</v>
          </cell>
          <cell r="E169" t="str">
            <v>初中</v>
          </cell>
          <cell r="F169" t="str">
            <v>已婚</v>
          </cell>
          <cell r="G169" t="str">
            <v>非农业</v>
          </cell>
        </row>
        <row r="169">
          <cell r="I169" t="str">
            <v>13684205534</v>
          </cell>
          <cell r="J169" t="str">
            <v>石板街道</v>
          </cell>
          <cell r="K169" t="str">
            <v>铜宝村</v>
          </cell>
          <cell r="L169" t="str">
            <v>四川省达州市达川区石板镇铜宝村4组</v>
          </cell>
          <cell r="M169" t="str">
            <v>四川省达州市达川区石板镇铜宝村4组</v>
          </cell>
        </row>
        <row r="169">
          <cell r="R169" t="str">
            <v>51302119701125045944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513021194911130459</v>
          </cell>
          <cell r="C170" t="str">
            <v>男</v>
          </cell>
          <cell r="D170" t="str">
            <v>汉族</v>
          </cell>
          <cell r="E170" t="str">
            <v>小学</v>
          </cell>
          <cell r="F170" t="str">
            <v>已婚</v>
          </cell>
          <cell r="G170" t="str">
            <v>农业</v>
          </cell>
        </row>
        <row r="170">
          <cell r="I170" t="str">
            <v>15182835619</v>
          </cell>
          <cell r="J170" t="str">
            <v>石板街道</v>
          </cell>
          <cell r="K170" t="str">
            <v>铜宝村</v>
          </cell>
          <cell r="L170" t="str">
            <v>四川省达州市达川区石板镇铜宝村3组</v>
          </cell>
          <cell r="M170" t="str">
            <v>四川省达州市达川区石板镇铜宝村3组</v>
          </cell>
          <cell r="N170" t="str">
            <v>唐中秀</v>
          </cell>
          <cell r="O170" t="str">
            <v>配偶</v>
          </cell>
        </row>
        <row r="170">
          <cell r="Q170" t="str">
            <v>15984762270</v>
          </cell>
          <cell r="R170" t="str">
            <v>51302119491113045963</v>
          </cell>
          <cell r="S170" t="str">
            <v>精神</v>
          </cell>
          <cell r="T170" t="str">
            <v>三级</v>
          </cell>
          <cell r="U170" t="str">
            <v>精神三级;</v>
          </cell>
        </row>
        <row r="171">
          <cell r="B171" t="str">
            <v>513021194701090452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13551444399</v>
          </cell>
          <cell r="J171" t="str">
            <v>石板街道</v>
          </cell>
          <cell r="K171" t="str">
            <v>铜宝村</v>
          </cell>
          <cell r="L171" t="str">
            <v>四川省达州市达川区石板街道铜宝村7组</v>
          </cell>
          <cell r="M171" t="str">
            <v>四川省达县石板镇铜坪村1组</v>
          </cell>
        </row>
        <row r="171">
          <cell r="R171" t="str">
            <v>51302119470109045214</v>
          </cell>
          <cell r="S171" t="str">
            <v>视力</v>
          </cell>
          <cell r="T171" t="str">
            <v>四级</v>
          </cell>
          <cell r="U171" t="str">
            <v>视力四级;</v>
          </cell>
        </row>
        <row r="172">
          <cell r="B172" t="str">
            <v>513021196710180459</v>
          </cell>
          <cell r="C172" t="str">
            <v>男</v>
          </cell>
          <cell r="D172" t="str">
            <v>汉族</v>
          </cell>
          <cell r="E172" t="str">
            <v>初中</v>
          </cell>
          <cell r="F172" t="str">
            <v>已婚</v>
          </cell>
          <cell r="G172" t="str">
            <v>非农业</v>
          </cell>
        </row>
        <row r="172">
          <cell r="I172" t="str">
            <v>00000000000</v>
          </cell>
          <cell r="J172" t="str">
            <v>石板街道</v>
          </cell>
          <cell r="K172" t="str">
            <v>铜宝村</v>
          </cell>
          <cell r="L172" t="str">
            <v>四川省达州市达川区石板镇政府街600号</v>
          </cell>
          <cell r="M172" t="str">
            <v>四川省达州市达川区石板镇政府街600号</v>
          </cell>
        </row>
        <row r="172">
          <cell r="R172" t="str">
            <v>51302119671018045923</v>
          </cell>
          <cell r="S172" t="str">
            <v>听力</v>
          </cell>
          <cell r="T172" t="str">
            <v>三级</v>
          </cell>
          <cell r="U172" t="str">
            <v>听力三级;</v>
          </cell>
        </row>
        <row r="173">
          <cell r="B173" t="str">
            <v>513021197506280457</v>
          </cell>
          <cell r="C173" t="str">
            <v>男</v>
          </cell>
          <cell r="D173" t="str">
            <v>汉族</v>
          </cell>
          <cell r="E173" t="str">
            <v>初中</v>
          </cell>
          <cell r="F173" t="str">
            <v>未婚</v>
          </cell>
          <cell r="G173" t="str">
            <v>农业</v>
          </cell>
        </row>
        <row r="173">
          <cell r="I173" t="str">
            <v>18980376460</v>
          </cell>
          <cell r="J173" t="str">
            <v>石板街道</v>
          </cell>
          <cell r="K173" t="str">
            <v>铜宝村</v>
          </cell>
          <cell r="L173" t="str">
            <v>四川省达州市达川区石板街道铜宝村3组</v>
          </cell>
          <cell r="M173" t="str">
            <v>四川省达州市达川区石板街道铜宝村3组</v>
          </cell>
        </row>
        <row r="173">
          <cell r="R173" t="str">
            <v>51302119750628045744</v>
          </cell>
          <cell r="S173" t="str">
            <v>肢体</v>
          </cell>
          <cell r="T173" t="str">
            <v>四级</v>
          </cell>
          <cell r="U173" t="str">
            <v>肢体四级;</v>
          </cell>
        </row>
        <row r="174">
          <cell r="B174" t="str">
            <v>522123198002195068</v>
          </cell>
          <cell r="C174" t="str">
            <v>女</v>
          </cell>
          <cell r="D174" t="str">
            <v>汉族</v>
          </cell>
          <cell r="E174" t="str">
            <v>小学</v>
          </cell>
          <cell r="F174" t="str">
            <v>未婚</v>
          </cell>
          <cell r="G174" t="str">
            <v>非农业</v>
          </cell>
        </row>
        <row r="174">
          <cell r="I174" t="str">
            <v>13392722619</v>
          </cell>
          <cell r="J174" t="str">
            <v>石板街道</v>
          </cell>
          <cell r="K174" t="str">
            <v>铜宝村</v>
          </cell>
          <cell r="L174" t="str">
            <v>四川省达州市达川区石板镇政府街600号</v>
          </cell>
          <cell r="M174" t="str">
            <v>四川省达州市达川区石板镇政府街600号</v>
          </cell>
        </row>
        <row r="174">
          <cell r="R174" t="str">
            <v>52212319800219506844</v>
          </cell>
          <cell r="S174" t="str">
            <v>肢体</v>
          </cell>
          <cell r="T174" t="str">
            <v>四级</v>
          </cell>
          <cell r="U174" t="str">
            <v>肢体四级;</v>
          </cell>
        </row>
        <row r="175">
          <cell r="B175" t="str">
            <v>513021194610220477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15122391167</v>
          </cell>
          <cell r="J175" t="str">
            <v>石板街道</v>
          </cell>
          <cell r="K175" t="str">
            <v>铜宝村</v>
          </cell>
          <cell r="L175" t="str">
            <v>四川省达州市达川区石板镇铜宝村5组</v>
          </cell>
          <cell r="M175" t="str">
            <v>四川省达州市达川区石板镇铜宝村5组</v>
          </cell>
        </row>
        <row r="175">
          <cell r="R175" t="str">
            <v>51302119461022047714</v>
          </cell>
          <cell r="S175" t="str">
            <v>视力</v>
          </cell>
          <cell r="T175" t="str">
            <v>四级</v>
          </cell>
          <cell r="U175" t="str">
            <v>视力四级;</v>
          </cell>
        </row>
        <row r="176">
          <cell r="B176" t="str">
            <v>513021196501120476</v>
          </cell>
          <cell r="C176" t="str">
            <v>男</v>
          </cell>
          <cell r="D176" t="str">
            <v>汉族</v>
          </cell>
          <cell r="E176" t="str">
            <v>小学</v>
          </cell>
          <cell r="F176" t="str">
            <v>未婚</v>
          </cell>
          <cell r="G176" t="str">
            <v>农业</v>
          </cell>
        </row>
        <row r="176">
          <cell r="I176" t="str">
            <v>15760674105</v>
          </cell>
          <cell r="J176" t="str">
            <v>石板街道</v>
          </cell>
          <cell r="K176" t="str">
            <v>铜宝村</v>
          </cell>
          <cell r="L176" t="str">
            <v>四川省达州市达川区石板街道铜宝村4组</v>
          </cell>
          <cell r="M176" t="str">
            <v>四川省达州市达川区石板街道铜宝村4组</v>
          </cell>
        </row>
        <row r="176">
          <cell r="R176" t="str">
            <v>51302119650112047644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513021196411260440</v>
          </cell>
          <cell r="C177" t="str">
            <v>女</v>
          </cell>
          <cell r="D177" t="str">
            <v>汉族</v>
          </cell>
          <cell r="E177" t="str">
            <v>小学</v>
          </cell>
          <cell r="F177" t="str">
            <v>已婚</v>
          </cell>
          <cell r="G177" t="str">
            <v>农业</v>
          </cell>
        </row>
        <row r="177">
          <cell r="I177" t="str">
            <v>13541806593</v>
          </cell>
          <cell r="J177" t="str">
            <v>石板街道</v>
          </cell>
          <cell r="K177" t="str">
            <v>铜宝村</v>
          </cell>
          <cell r="L177" t="str">
            <v>四川省达州市达川区石板街道铜宝村铜坪村2组</v>
          </cell>
          <cell r="M177" t="str">
            <v>四川省达州市达川区石板街道铜宝村铜坪村2组</v>
          </cell>
        </row>
        <row r="177">
          <cell r="R177" t="str">
            <v>51302119641126044041</v>
          </cell>
          <cell r="S177" t="str">
            <v>肢体</v>
          </cell>
          <cell r="T177" t="str">
            <v>一级</v>
          </cell>
          <cell r="U177" t="str">
            <v>肢体一级;</v>
          </cell>
        </row>
        <row r="178">
          <cell r="B178" t="str">
            <v>513021197407020449</v>
          </cell>
          <cell r="C178" t="str">
            <v>女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18782885051</v>
          </cell>
          <cell r="J178" t="str">
            <v>石板街道</v>
          </cell>
          <cell r="K178" t="str">
            <v>铜宝村</v>
          </cell>
          <cell r="L178" t="str">
            <v>四川省达州市达川区石板镇铜宝村2组</v>
          </cell>
          <cell r="M178" t="str">
            <v>四川省达县石板镇铜宝村2组</v>
          </cell>
        </row>
        <row r="178">
          <cell r="R178" t="str">
            <v>51302119740702044944</v>
          </cell>
          <cell r="S178" t="str">
            <v>肢体</v>
          </cell>
          <cell r="T178" t="str">
            <v>四级</v>
          </cell>
          <cell r="U178" t="str">
            <v>肢体四级;</v>
          </cell>
        </row>
        <row r="179">
          <cell r="B179" t="str">
            <v>513021197309080448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已婚</v>
          </cell>
          <cell r="G179" t="str">
            <v>农业</v>
          </cell>
        </row>
        <row r="179">
          <cell r="I179" t="str">
            <v>13419054539</v>
          </cell>
          <cell r="J179" t="str">
            <v>石板街道</v>
          </cell>
          <cell r="K179" t="str">
            <v>铜宝村</v>
          </cell>
          <cell r="L179" t="str">
            <v>四川省达州市达川区石板街道铜宝村1组</v>
          </cell>
          <cell r="M179" t="str">
            <v>四川省达州市达川区石板街道铜宝村1组</v>
          </cell>
          <cell r="N179" t="str">
            <v>潘辉</v>
          </cell>
          <cell r="O179" t="str">
            <v>配偶</v>
          </cell>
        </row>
        <row r="179">
          <cell r="Q179" t="str">
            <v>13419054539</v>
          </cell>
          <cell r="R179" t="str">
            <v>51302119730908044844B1</v>
          </cell>
          <cell r="S179" t="str">
            <v>肢体</v>
          </cell>
          <cell r="T179" t="str">
            <v>四级</v>
          </cell>
          <cell r="U179" t="str">
            <v>肢体四级;</v>
          </cell>
        </row>
        <row r="180">
          <cell r="B180" t="str">
            <v>513021199304020461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未婚</v>
          </cell>
          <cell r="G180" t="str">
            <v>农业</v>
          </cell>
        </row>
        <row r="180">
          <cell r="I180" t="str">
            <v>13639038183</v>
          </cell>
          <cell r="J180" t="str">
            <v>石板街道</v>
          </cell>
          <cell r="K180" t="str">
            <v>铜宝村</v>
          </cell>
          <cell r="L180" t="str">
            <v>四川省达州市达川区石板镇铜宝村2组</v>
          </cell>
          <cell r="M180" t="str">
            <v>四川省达县石板镇铜宝村2组</v>
          </cell>
        </row>
        <row r="180">
          <cell r="R180" t="str">
            <v>51302119930402046143</v>
          </cell>
          <cell r="S180" t="str">
            <v>肢体</v>
          </cell>
          <cell r="T180" t="str">
            <v>三级</v>
          </cell>
          <cell r="U180" t="str">
            <v>肢体三级;</v>
          </cell>
        </row>
        <row r="181">
          <cell r="B181" t="str">
            <v>513021195710280463</v>
          </cell>
          <cell r="C181" t="str">
            <v>女</v>
          </cell>
          <cell r="D181" t="str">
            <v>汉族</v>
          </cell>
          <cell r="E181" t="str">
            <v>小学</v>
          </cell>
          <cell r="F181" t="str">
            <v>已婚</v>
          </cell>
          <cell r="G181" t="str">
            <v>农业</v>
          </cell>
        </row>
        <row r="181">
          <cell r="I181" t="str">
            <v>15281809030</v>
          </cell>
          <cell r="J181" t="str">
            <v>石板街道</v>
          </cell>
          <cell r="K181" t="str">
            <v>铜宝村</v>
          </cell>
          <cell r="L181" t="str">
            <v>四川省达州市达川区石板镇铜坪村2组</v>
          </cell>
          <cell r="M181" t="str">
            <v>四川省达县石板镇铜坪村2组</v>
          </cell>
        </row>
        <row r="181">
          <cell r="R181" t="str">
            <v>51302119571028046344</v>
          </cell>
          <cell r="S181" t="str">
            <v>肢体</v>
          </cell>
          <cell r="T181" t="str">
            <v>四级</v>
          </cell>
          <cell r="U181" t="str">
            <v>肢体四级;</v>
          </cell>
        </row>
        <row r="182">
          <cell r="B182" t="str">
            <v>513021194811280441</v>
          </cell>
          <cell r="C182" t="str">
            <v>女</v>
          </cell>
          <cell r="D182" t="str">
            <v>汉族</v>
          </cell>
          <cell r="E182" t="str">
            <v>初中</v>
          </cell>
          <cell r="F182" t="str">
            <v>已婚</v>
          </cell>
          <cell r="G182" t="str">
            <v>农业</v>
          </cell>
        </row>
        <row r="182">
          <cell r="I182" t="str">
            <v>13568194664</v>
          </cell>
          <cell r="J182" t="str">
            <v>石板街道</v>
          </cell>
          <cell r="K182" t="str">
            <v>铜宝村</v>
          </cell>
          <cell r="L182" t="str">
            <v>四川省达州市达川区石板镇铜宝村５组４０６号</v>
          </cell>
          <cell r="M182" t="str">
            <v>四川省达县石板镇铜宝村５组４０６号</v>
          </cell>
        </row>
        <row r="182">
          <cell r="R182" t="str">
            <v>51302119481128044144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513021194802030459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18982881019</v>
          </cell>
          <cell r="J183" t="str">
            <v>石板街道</v>
          </cell>
          <cell r="K183" t="str">
            <v>铜宝村</v>
          </cell>
          <cell r="L183" t="str">
            <v>四川省达州市达川区石板镇铜宝村1组85号</v>
          </cell>
          <cell r="M183" t="str">
            <v>四川省达州市达川区石板镇铜宝村1组85号</v>
          </cell>
          <cell r="N183" t="str">
            <v>潘传玉</v>
          </cell>
          <cell r="O183" t="str">
            <v>配偶</v>
          </cell>
        </row>
        <row r="183">
          <cell r="R183" t="str">
            <v>51302119480203045911</v>
          </cell>
          <cell r="S183" t="str">
            <v>视力</v>
          </cell>
          <cell r="T183" t="str">
            <v>一级</v>
          </cell>
          <cell r="U183" t="str">
            <v>视力一级;</v>
          </cell>
        </row>
        <row r="184">
          <cell r="B184" t="str">
            <v>513021196304040450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13568194664</v>
          </cell>
          <cell r="J184" t="str">
            <v>石板街道</v>
          </cell>
          <cell r="K184" t="str">
            <v>铜宝村</v>
          </cell>
          <cell r="L184" t="str">
            <v>四川省达州市达川区石板镇铜宝村4组</v>
          </cell>
          <cell r="M184" t="str">
            <v>四川省达州市达川区石板镇铜宝村4组</v>
          </cell>
        </row>
        <row r="184">
          <cell r="R184" t="str">
            <v>51302119630404045044</v>
          </cell>
          <cell r="S184" t="str">
            <v>肢体</v>
          </cell>
          <cell r="T184" t="str">
            <v>四级</v>
          </cell>
          <cell r="U184" t="str">
            <v>肢体四级;</v>
          </cell>
        </row>
        <row r="185">
          <cell r="B185" t="str">
            <v>513021193909180444</v>
          </cell>
          <cell r="C185" t="str">
            <v>女</v>
          </cell>
          <cell r="D185" t="str">
            <v>汉族</v>
          </cell>
          <cell r="E185" t="str">
            <v>小学</v>
          </cell>
          <cell r="F185" t="str">
            <v>已婚</v>
          </cell>
          <cell r="G185" t="str">
            <v>农业</v>
          </cell>
        </row>
        <row r="185">
          <cell r="I185" t="str">
            <v>15760672586</v>
          </cell>
          <cell r="J185" t="str">
            <v>石板街道</v>
          </cell>
          <cell r="K185" t="str">
            <v>铜宝村</v>
          </cell>
          <cell r="L185" t="str">
            <v>四川省达州市达川区石板镇铜坪村２组１３７号</v>
          </cell>
          <cell r="M185" t="str">
            <v>四川省达县石板镇铜坪村２组１３７号</v>
          </cell>
        </row>
        <row r="185">
          <cell r="R185" t="str">
            <v>51302119390918044414</v>
          </cell>
          <cell r="S185" t="str">
            <v>视力</v>
          </cell>
          <cell r="T185" t="str">
            <v>四级</v>
          </cell>
          <cell r="U185" t="str">
            <v>视力四级;</v>
          </cell>
        </row>
        <row r="186">
          <cell r="B186" t="str">
            <v>513021195709120454</v>
          </cell>
          <cell r="C186" t="str">
            <v>男</v>
          </cell>
          <cell r="D186" t="str">
            <v>汉族</v>
          </cell>
          <cell r="E186" t="str">
            <v>初中</v>
          </cell>
          <cell r="F186" t="str">
            <v>已婚</v>
          </cell>
          <cell r="G186" t="str">
            <v>农业</v>
          </cell>
        </row>
        <row r="186">
          <cell r="I186" t="str">
            <v>00000</v>
          </cell>
          <cell r="J186" t="str">
            <v>石板街道</v>
          </cell>
          <cell r="K186" t="str">
            <v>铜宝村</v>
          </cell>
          <cell r="L186" t="str">
            <v>四川省达县石板镇铜坪村1组</v>
          </cell>
          <cell r="M186" t="str">
            <v>四川省达县石板镇铜坪村1组</v>
          </cell>
        </row>
        <row r="186">
          <cell r="R186" t="str">
            <v>51302119570912045424</v>
          </cell>
          <cell r="S186" t="str">
            <v>听力</v>
          </cell>
          <cell r="T186" t="str">
            <v>四级</v>
          </cell>
          <cell r="U186" t="str">
            <v>听力四级;</v>
          </cell>
        </row>
        <row r="187">
          <cell r="B187" t="str">
            <v>513021194901170457</v>
          </cell>
          <cell r="C187" t="str">
            <v>男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17603894328</v>
          </cell>
          <cell r="J187" t="str">
            <v>石板街道</v>
          </cell>
          <cell r="K187" t="str">
            <v>铜宝村</v>
          </cell>
          <cell r="L187" t="str">
            <v>四川省达州市达川区石板街道铜宝村2组</v>
          </cell>
          <cell r="M187" t="str">
            <v>四川省达州市达川区石板街道铜宝村2组</v>
          </cell>
          <cell r="N187" t="str">
            <v>潘梅</v>
          </cell>
          <cell r="O187" t="str">
            <v>女</v>
          </cell>
        </row>
        <row r="187">
          <cell r="Q187" t="str">
            <v>17603894328</v>
          </cell>
          <cell r="R187" t="str">
            <v>51302119490117045762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513021194907110455</v>
          </cell>
          <cell r="C188" t="str">
            <v>男</v>
          </cell>
          <cell r="D188" t="str">
            <v>汉族</v>
          </cell>
          <cell r="E188" t="str">
            <v>小学</v>
          </cell>
          <cell r="F188" t="str">
            <v>已婚</v>
          </cell>
          <cell r="G188" t="str">
            <v>农业</v>
          </cell>
        </row>
        <row r="188">
          <cell r="I188" t="str">
            <v>19960472511</v>
          </cell>
          <cell r="J188" t="str">
            <v>石板街道</v>
          </cell>
          <cell r="K188" t="str">
            <v>铜宝村</v>
          </cell>
          <cell r="L188" t="str">
            <v>四川省达州市达川区石板街道铜宝村2组</v>
          </cell>
          <cell r="M188" t="str">
            <v>四川省达州市达川区石板街道铜宝村2组</v>
          </cell>
        </row>
        <row r="188">
          <cell r="R188" t="str">
            <v>51302119490711045544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513021196202280656</v>
          </cell>
          <cell r="C189" t="str">
            <v>男</v>
          </cell>
          <cell r="D189" t="str">
            <v>汉族</v>
          </cell>
          <cell r="E189" t="str">
            <v>初中</v>
          </cell>
          <cell r="F189" t="str">
            <v>已婚</v>
          </cell>
          <cell r="G189" t="str">
            <v>农业</v>
          </cell>
        </row>
        <row r="189">
          <cell r="I189" t="str">
            <v>13096198635</v>
          </cell>
          <cell r="J189" t="str">
            <v>石板街道</v>
          </cell>
          <cell r="K189" t="str">
            <v>铜宝村</v>
          </cell>
          <cell r="L189" t="str">
            <v>四川省达州市达川区石板街道铜宝村1组</v>
          </cell>
          <cell r="M189" t="str">
            <v>四川省达州市达川区石板街道铜宝村1组</v>
          </cell>
        </row>
        <row r="189">
          <cell r="R189" t="str">
            <v>51302119620228065644</v>
          </cell>
          <cell r="S189" t="str">
            <v>肢体</v>
          </cell>
          <cell r="T189" t="str">
            <v>四级</v>
          </cell>
          <cell r="U189" t="str">
            <v>肢体四级;</v>
          </cell>
        </row>
        <row r="190">
          <cell r="B190" t="str">
            <v>513021198106110453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18780876728</v>
          </cell>
          <cell r="J190" t="str">
            <v>石板街道</v>
          </cell>
          <cell r="K190" t="str">
            <v>铜宝村</v>
          </cell>
          <cell r="L190" t="str">
            <v>四川省达州市达川区石板街道铜宝村１组１４号</v>
          </cell>
          <cell r="M190" t="str">
            <v>四川省达州市达川区石板街道铜宝村１组１４号</v>
          </cell>
        </row>
        <row r="190">
          <cell r="R190" t="str">
            <v>51302119810611045344</v>
          </cell>
          <cell r="S190" t="str">
            <v>肢体</v>
          </cell>
          <cell r="T190" t="str">
            <v>四级</v>
          </cell>
          <cell r="U190" t="str">
            <v>肢体四级;</v>
          </cell>
        </row>
        <row r="191">
          <cell r="B191" t="str">
            <v>513021196909070476</v>
          </cell>
          <cell r="C191" t="str">
            <v>男</v>
          </cell>
          <cell r="D191" t="str">
            <v>汉族</v>
          </cell>
          <cell r="E191" t="str">
            <v>初中</v>
          </cell>
          <cell r="F191" t="str">
            <v>已婚</v>
          </cell>
          <cell r="G191" t="str">
            <v>农业</v>
          </cell>
        </row>
        <row r="191">
          <cell r="I191" t="str">
            <v>0000200</v>
          </cell>
          <cell r="J191" t="str">
            <v>石板街道</v>
          </cell>
          <cell r="K191" t="str">
            <v>铜宝村</v>
          </cell>
          <cell r="L191" t="str">
            <v>四川省达县石板镇铜宝村2组</v>
          </cell>
          <cell r="M191" t="str">
            <v>四川省达县石板镇铜宝村2组</v>
          </cell>
        </row>
        <row r="191">
          <cell r="R191" t="str">
            <v>51302119690907047644</v>
          </cell>
          <cell r="S191" t="str">
            <v>肢体</v>
          </cell>
          <cell r="T191" t="str">
            <v>四级</v>
          </cell>
          <cell r="U191" t="str">
            <v>肢体四级;</v>
          </cell>
        </row>
        <row r="192">
          <cell r="B192" t="str">
            <v>513021193208190447</v>
          </cell>
          <cell r="C192" t="str">
            <v>女</v>
          </cell>
          <cell r="D192" t="str">
            <v>汉族</v>
          </cell>
          <cell r="E192" t="str">
            <v>文盲</v>
          </cell>
          <cell r="F192" t="str">
            <v>已婚</v>
          </cell>
          <cell r="G192" t="str">
            <v>农业</v>
          </cell>
        </row>
        <row r="192">
          <cell r="I192" t="str">
            <v>0000000</v>
          </cell>
          <cell r="J192" t="str">
            <v>石板街道</v>
          </cell>
          <cell r="K192" t="str">
            <v>铜宝村</v>
          </cell>
          <cell r="L192" t="str">
            <v>四川省达县石板镇铜坪村3组</v>
          </cell>
          <cell r="M192" t="str">
            <v>四川省达县石板镇铜坪村3组</v>
          </cell>
          <cell r="N192" t="str">
            <v>黄元</v>
          </cell>
          <cell r="O192" t="str">
            <v>配偶</v>
          </cell>
        </row>
        <row r="192">
          <cell r="R192" t="str">
            <v>51302119320819044743</v>
          </cell>
          <cell r="S192" t="str">
            <v>肢体</v>
          </cell>
          <cell r="T192" t="str">
            <v>三级</v>
          </cell>
          <cell r="U192" t="str">
            <v>肢体三级;</v>
          </cell>
        </row>
        <row r="193">
          <cell r="B193" t="str">
            <v>513021198909030457</v>
          </cell>
          <cell r="C193" t="str">
            <v>男</v>
          </cell>
          <cell r="D193" t="str">
            <v>汉族</v>
          </cell>
          <cell r="E193" t="str">
            <v>小学</v>
          </cell>
          <cell r="F193" t="str">
            <v>未婚</v>
          </cell>
          <cell r="G193" t="str">
            <v>农业</v>
          </cell>
        </row>
        <row r="193">
          <cell r="I193" t="str">
            <v>1519684195</v>
          </cell>
          <cell r="J193" t="str">
            <v>石板街道</v>
          </cell>
          <cell r="K193" t="str">
            <v>铜宝村</v>
          </cell>
          <cell r="L193" t="str">
            <v>四川省达州市达川区石板镇铜宝村1组</v>
          </cell>
          <cell r="M193" t="str">
            <v>四川省达州市达川区石板镇铜宝村1组</v>
          </cell>
          <cell r="N193" t="str">
            <v>文贵秀</v>
          </cell>
          <cell r="O193" t="str">
            <v>其他</v>
          </cell>
        </row>
        <row r="193">
          <cell r="Q193" t="str">
            <v>1519684195</v>
          </cell>
          <cell r="R193" t="str">
            <v>51302119890903045762</v>
          </cell>
          <cell r="S193" t="str">
            <v>精神</v>
          </cell>
          <cell r="T193" t="str">
            <v>二级</v>
          </cell>
          <cell r="U193" t="str">
            <v>精神二级;</v>
          </cell>
        </row>
        <row r="194">
          <cell r="B194" t="str">
            <v>513021194907210448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18048063203</v>
          </cell>
          <cell r="J194" t="str">
            <v>石板街道</v>
          </cell>
          <cell r="K194" t="str">
            <v>铜宝村</v>
          </cell>
          <cell r="L194" t="str">
            <v>四川省达州市 达川区石板镇铜宝村４组３９４号</v>
          </cell>
          <cell r="M194" t="str">
            <v>四川省达州市达川区石板镇铜宝村４组３９４号</v>
          </cell>
        </row>
        <row r="194">
          <cell r="R194" t="str">
            <v>51302119490721044811</v>
          </cell>
          <cell r="S194" t="str">
            <v>视力</v>
          </cell>
          <cell r="T194" t="str">
            <v>一级</v>
          </cell>
          <cell r="U194" t="str">
            <v>视力一级;</v>
          </cell>
        </row>
        <row r="195">
          <cell r="B195" t="str">
            <v>513021193507010450</v>
          </cell>
          <cell r="C195" t="str">
            <v>男</v>
          </cell>
          <cell r="D195" t="str">
            <v>汉族</v>
          </cell>
          <cell r="E195" t="str">
            <v>初中</v>
          </cell>
          <cell r="F195" t="str">
            <v>已婚</v>
          </cell>
          <cell r="G195" t="str">
            <v>农业</v>
          </cell>
        </row>
        <row r="195">
          <cell r="I195" t="str">
            <v>13547226909</v>
          </cell>
          <cell r="J195" t="str">
            <v>石板街道</v>
          </cell>
          <cell r="K195" t="str">
            <v>铜宝村</v>
          </cell>
          <cell r="L195" t="str">
            <v>四川省达州市达川区石板镇铜宝村4组377号</v>
          </cell>
          <cell r="M195" t="str">
            <v>四川省达州市达川区石板镇铜宝村4组377号</v>
          </cell>
        </row>
        <row r="195">
          <cell r="R195" t="str">
            <v>51302119350701045042</v>
          </cell>
          <cell r="S195" t="str">
            <v>肢体</v>
          </cell>
          <cell r="T195" t="str">
            <v>二级</v>
          </cell>
          <cell r="U195" t="str">
            <v>肢体二级;</v>
          </cell>
        </row>
        <row r="196">
          <cell r="B196" t="str">
            <v>513021196304060451</v>
          </cell>
          <cell r="C196" t="str">
            <v>男</v>
          </cell>
          <cell r="D196" t="str">
            <v>汉族</v>
          </cell>
          <cell r="E196" t="str">
            <v>初中</v>
          </cell>
          <cell r="F196" t="str">
            <v>已婚</v>
          </cell>
          <cell r="G196" t="str">
            <v>农业</v>
          </cell>
        </row>
        <row r="196">
          <cell r="I196" t="str">
            <v>15882979845</v>
          </cell>
          <cell r="J196" t="str">
            <v>石板街道</v>
          </cell>
          <cell r="K196" t="str">
            <v>铜宝村</v>
          </cell>
          <cell r="L196" t="str">
            <v>四川省达州市达川区石板街道铜宝村２组１８２号</v>
          </cell>
          <cell r="M196" t="str">
            <v>四川省达州市达川区石板街道铜宝村２组１８２号</v>
          </cell>
          <cell r="N196" t="str">
            <v>李治润</v>
          </cell>
          <cell r="O196" t="str">
            <v>配偶</v>
          </cell>
        </row>
        <row r="196">
          <cell r="Q196" t="str">
            <v>15181811513</v>
          </cell>
          <cell r="R196" t="str">
            <v>51302119630406045153</v>
          </cell>
          <cell r="S196" t="str">
            <v>智力</v>
          </cell>
          <cell r="T196" t="str">
            <v>三级</v>
          </cell>
          <cell r="U196" t="str">
            <v>智力三级;</v>
          </cell>
        </row>
        <row r="197">
          <cell r="B197" t="str">
            <v>513021193104110457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丧偶</v>
          </cell>
          <cell r="G197" t="str">
            <v>农业</v>
          </cell>
        </row>
        <row r="197">
          <cell r="J197" t="str">
            <v>石板街道</v>
          </cell>
          <cell r="K197" t="str">
            <v>铜宝村</v>
          </cell>
          <cell r="L197" t="str">
            <v>四川省达县石板镇铜坪村2组</v>
          </cell>
          <cell r="M197" t="str">
            <v>四川省达县石板镇铜坪村2组</v>
          </cell>
        </row>
        <row r="197">
          <cell r="R197" t="str">
            <v>51302119310411045744</v>
          </cell>
          <cell r="S197" t="str">
            <v>肢体</v>
          </cell>
          <cell r="T197" t="str">
            <v>四级</v>
          </cell>
          <cell r="U197" t="str">
            <v>肢体四级;</v>
          </cell>
        </row>
        <row r="198">
          <cell r="B198" t="str">
            <v>513021193701250458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13619068032</v>
          </cell>
          <cell r="J198" t="str">
            <v>石板街道</v>
          </cell>
          <cell r="K198" t="str">
            <v>铜宝村</v>
          </cell>
          <cell r="L198" t="str">
            <v>四川省达州市达川区石板镇铜坪村2组</v>
          </cell>
          <cell r="M198" t="str">
            <v>四川省达县石板镇铜坪村2组</v>
          </cell>
        </row>
        <row r="198">
          <cell r="R198" t="str">
            <v>51302119370125045842</v>
          </cell>
          <cell r="S198" t="str">
            <v>肢体</v>
          </cell>
          <cell r="T198" t="str">
            <v>二级</v>
          </cell>
          <cell r="U198" t="str">
            <v>肢体二级;</v>
          </cell>
        </row>
        <row r="199">
          <cell r="B199" t="str">
            <v>513021197002200476</v>
          </cell>
          <cell r="C199" t="str">
            <v>男</v>
          </cell>
          <cell r="D199" t="str">
            <v>汉族</v>
          </cell>
          <cell r="E199" t="str">
            <v>小学</v>
          </cell>
          <cell r="F199" t="str">
            <v>已婚</v>
          </cell>
          <cell r="G199" t="str">
            <v>农业</v>
          </cell>
        </row>
        <row r="199">
          <cell r="I199" t="str">
            <v>13036623298</v>
          </cell>
          <cell r="J199" t="str">
            <v>石板街道</v>
          </cell>
          <cell r="K199" t="str">
            <v>铜宝村</v>
          </cell>
          <cell r="L199" t="str">
            <v>四川省达州市达川区石板街道铜宝村3组</v>
          </cell>
          <cell r="M199" t="str">
            <v>四川省达州市达川区石板街道铜宝村3组</v>
          </cell>
        </row>
        <row r="199">
          <cell r="R199" t="str">
            <v>51302119700220047644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513021196109290462</v>
          </cell>
          <cell r="C200" t="str">
            <v>女</v>
          </cell>
          <cell r="D200" t="str">
            <v>汉族</v>
          </cell>
          <cell r="E200" t="str">
            <v>初中</v>
          </cell>
          <cell r="F200" t="str">
            <v>已婚</v>
          </cell>
          <cell r="G200" t="str">
            <v>农业</v>
          </cell>
        </row>
        <row r="200">
          <cell r="I200" t="str">
            <v>15984762667</v>
          </cell>
          <cell r="J200" t="str">
            <v>石板街道</v>
          </cell>
          <cell r="K200" t="str">
            <v>铜宝村</v>
          </cell>
          <cell r="L200" t="str">
            <v>四川省达州市达川区石板镇铜宝村5组</v>
          </cell>
          <cell r="M200" t="str">
            <v>四川省达州市达川区石板镇铜宝村5组</v>
          </cell>
        </row>
        <row r="200">
          <cell r="R200" t="str">
            <v>51302119610929046224</v>
          </cell>
          <cell r="S200" t="str">
            <v>听力</v>
          </cell>
          <cell r="T200" t="str">
            <v>四级</v>
          </cell>
          <cell r="U200" t="str">
            <v>听力四级;</v>
          </cell>
        </row>
        <row r="201">
          <cell r="B201" t="str">
            <v>513021194307040465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15298130291</v>
          </cell>
          <cell r="J201" t="str">
            <v>石板街道</v>
          </cell>
          <cell r="K201" t="str">
            <v>铜宝村</v>
          </cell>
          <cell r="L201" t="str">
            <v>四川省达州市达川区石板镇铜宝村4组356号</v>
          </cell>
          <cell r="M201" t="str">
            <v>四川省达州市达川区石板镇铜宝村4组356号</v>
          </cell>
        </row>
        <row r="201">
          <cell r="R201" t="str">
            <v>51302119430704046544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513021197004290444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13096195311</v>
          </cell>
          <cell r="J202" t="str">
            <v>石板街道</v>
          </cell>
          <cell r="K202" t="str">
            <v>铜宝村</v>
          </cell>
          <cell r="L202" t="str">
            <v>四川省达州市达川区石板镇铜宝村5组432号</v>
          </cell>
          <cell r="M202" t="str">
            <v>四川省达州市达川区石板镇铜宝村5组432号</v>
          </cell>
          <cell r="N202" t="str">
            <v>陈光全</v>
          </cell>
          <cell r="O202" t="str">
            <v>配偶</v>
          </cell>
        </row>
        <row r="202">
          <cell r="Q202" t="str">
            <v>13096195311</v>
          </cell>
          <cell r="R202" t="str">
            <v>51302119700429044463</v>
          </cell>
          <cell r="S202" t="str">
            <v>精神</v>
          </cell>
          <cell r="T202" t="str">
            <v>三级</v>
          </cell>
          <cell r="U202" t="str">
            <v>精神三级;</v>
          </cell>
        </row>
        <row r="203">
          <cell r="B203" t="str">
            <v>513021196706260472</v>
          </cell>
          <cell r="C203" t="str">
            <v>男</v>
          </cell>
          <cell r="D203" t="str">
            <v>汉族</v>
          </cell>
          <cell r="E203" t="str">
            <v>初中</v>
          </cell>
          <cell r="F203" t="str">
            <v>已婚</v>
          </cell>
          <cell r="G203" t="str">
            <v>农业</v>
          </cell>
        </row>
        <row r="203">
          <cell r="I203" t="str">
            <v>15281801099</v>
          </cell>
          <cell r="J203" t="str">
            <v>石板街道</v>
          </cell>
          <cell r="K203" t="str">
            <v>铜宝村</v>
          </cell>
          <cell r="L203" t="str">
            <v>四川省达州市达川区石板镇铜宝村3组</v>
          </cell>
          <cell r="M203" t="str">
            <v>四川省达州市达川区石板镇铜宝村3组</v>
          </cell>
          <cell r="N203" t="str">
            <v>郭碧</v>
          </cell>
          <cell r="O203" t="str">
            <v>配偶</v>
          </cell>
        </row>
        <row r="203">
          <cell r="Q203" t="str">
            <v>15281801099</v>
          </cell>
          <cell r="R203" t="str">
            <v>51302119670626047243</v>
          </cell>
          <cell r="S203" t="str">
            <v>肢体</v>
          </cell>
          <cell r="T203" t="str">
            <v>三级</v>
          </cell>
          <cell r="U203" t="str">
            <v>肢体三级;</v>
          </cell>
        </row>
        <row r="204">
          <cell r="B204" t="str">
            <v>513021197207200453</v>
          </cell>
          <cell r="C204" t="str">
            <v>男</v>
          </cell>
          <cell r="D204" t="str">
            <v>汉族</v>
          </cell>
          <cell r="E204" t="str">
            <v>初中</v>
          </cell>
          <cell r="F204" t="str">
            <v>已婚</v>
          </cell>
          <cell r="G204" t="str">
            <v>农业</v>
          </cell>
        </row>
        <row r="204">
          <cell r="I204" t="str">
            <v>00000000</v>
          </cell>
          <cell r="J204" t="str">
            <v>石板街道</v>
          </cell>
          <cell r="K204" t="str">
            <v>铜宝村</v>
          </cell>
          <cell r="L204" t="str">
            <v>四川省达县石板镇铜坪村1组</v>
          </cell>
          <cell r="M204" t="str">
            <v>四川省达县石板镇铜坪村1组</v>
          </cell>
        </row>
        <row r="204">
          <cell r="R204" t="str">
            <v>51302119720720045344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513021195604030452</v>
          </cell>
          <cell r="C205" t="str">
            <v>男</v>
          </cell>
          <cell r="D205" t="str">
            <v>汉族</v>
          </cell>
          <cell r="E205" t="str">
            <v>初中</v>
          </cell>
          <cell r="F205" t="str">
            <v>已婚</v>
          </cell>
          <cell r="G205" t="str">
            <v>农业</v>
          </cell>
        </row>
        <row r="205">
          <cell r="I205" t="str">
            <v>18381960626</v>
          </cell>
          <cell r="J205" t="str">
            <v>石板街道</v>
          </cell>
          <cell r="K205" t="str">
            <v>铜宝村</v>
          </cell>
          <cell r="L205" t="str">
            <v>四川省达州市达川区石板街道铜宝村4组</v>
          </cell>
          <cell r="M205" t="str">
            <v>四川省达州市达川区石板街道铜宝村4组</v>
          </cell>
        </row>
        <row r="205">
          <cell r="R205" t="str">
            <v>51302119560403045243</v>
          </cell>
          <cell r="S205" t="str">
            <v>肢体</v>
          </cell>
          <cell r="T205" t="str">
            <v>三级</v>
          </cell>
          <cell r="U205" t="str">
            <v>肢体三级;</v>
          </cell>
        </row>
        <row r="206">
          <cell r="B206" t="str">
            <v>511721200809125711</v>
          </cell>
          <cell r="C206" t="str">
            <v>男</v>
          </cell>
          <cell r="D206" t="str">
            <v>汉族</v>
          </cell>
          <cell r="E206" t="str">
            <v>文盲</v>
          </cell>
          <cell r="F206" t="str">
            <v>未婚</v>
          </cell>
          <cell r="G206" t="str">
            <v>农业</v>
          </cell>
        </row>
        <row r="206">
          <cell r="I206" t="str">
            <v>13419058920</v>
          </cell>
          <cell r="J206" t="str">
            <v>石板街道</v>
          </cell>
          <cell r="K206" t="str">
            <v>铜宝村</v>
          </cell>
          <cell r="L206" t="str">
            <v>四川省达州市达川区石板街道铜宝村1组84号</v>
          </cell>
          <cell r="M206" t="str">
            <v>四川省达州市达川区石板街道铜宝村1组84号</v>
          </cell>
          <cell r="N206" t="str">
            <v>陈敏</v>
          </cell>
          <cell r="O206" t="str">
            <v>父母</v>
          </cell>
        </row>
        <row r="206">
          <cell r="Q206" t="str">
            <v>13419058920</v>
          </cell>
          <cell r="R206" t="str">
            <v>51172120080912571143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51302119320313047X</v>
          </cell>
          <cell r="C207" t="str">
            <v>男</v>
          </cell>
          <cell r="D207" t="str">
            <v>汉族</v>
          </cell>
          <cell r="E207" t="str">
            <v>初中</v>
          </cell>
          <cell r="F207" t="str">
            <v>已婚</v>
          </cell>
          <cell r="G207" t="str">
            <v>农业</v>
          </cell>
        </row>
        <row r="207">
          <cell r="I207" t="str">
            <v>13404042004</v>
          </cell>
          <cell r="J207" t="str">
            <v>石板街道</v>
          </cell>
          <cell r="K207" t="str">
            <v>铜宝村</v>
          </cell>
          <cell r="L207" t="str">
            <v>四川省达州市达川区石板镇铜宝村6组</v>
          </cell>
          <cell r="M207" t="str">
            <v>四川省达州市达川区石板镇铜宝村6组</v>
          </cell>
        </row>
        <row r="207">
          <cell r="R207" t="str">
            <v>51302119320313047X12</v>
          </cell>
          <cell r="S207" t="str">
            <v>视力</v>
          </cell>
          <cell r="T207" t="str">
            <v>二级</v>
          </cell>
          <cell r="U207" t="str">
            <v>视力二级;</v>
          </cell>
        </row>
        <row r="208">
          <cell r="B208" t="str">
            <v>513021197202240456</v>
          </cell>
          <cell r="C208" t="str">
            <v>男</v>
          </cell>
          <cell r="D208" t="str">
            <v>汉族</v>
          </cell>
          <cell r="E208" t="str">
            <v>初中</v>
          </cell>
          <cell r="F208" t="str">
            <v>已婚</v>
          </cell>
          <cell r="G208" t="str">
            <v>农业</v>
          </cell>
        </row>
        <row r="208">
          <cell r="I208" t="str">
            <v>15181469548</v>
          </cell>
          <cell r="J208" t="str">
            <v>石板街道</v>
          </cell>
          <cell r="K208" t="str">
            <v>铜宝村</v>
          </cell>
          <cell r="L208" t="str">
            <v>四川省达州市达川区石板街道铜宝村7组</v>
          </cell>
          <cell r="M208" t="str">
            <v>四川省达州市达川区石板街道铜宝村7组</v>
          </cell>
          <cell r="N208" t="str">
            <v>潘镍文</v>
          </cell>
          <cell r="O208" t="str">
            <v>父母</v>
          </cell>
        </row>
        <row r="208">
          <cell r="Q208" t="str">
            <v>15181469548</v>
          </cell>
          <cell r="R208" t="str">
            <v>51302119720224045662</v>
          </cell>
          <cell r="S208" t="str">
            <v>精神</v>
          </cell>
          <cell r="T208" t="str">
            <v>二级</v>
          </cell>
          <cell r="U208" t="str">
            <v>精神二级;</v>
          </cell>
        </row>
        <row r="209">
          <cell r="B209" t="str">
            <v>513021193611280442</v>
          </cell>
          <cell r="C209" t="str">
            <v>女</v>
          </cell>
          <cell r="D209" t="str">
            <v>汉族</v>
          </cell>
          <cell r="E209" t="str">
            <v>文盲</v>
          </cell>
          <cell r="F209" t="str">
            <v>丧偶</v>
          </cell>
          <cell r="G209" t="str">
            <v>农业</v>
          </cell>
        </row>
        <row r="209">
          <cell r="I209" t="str">
            <v>15082880465</v>
          </cell>
          <cell r="J209" t="str">
            <v>石板街道</v>
          </cell>
          <cell r="K209" t="str">
            <v>铜宝村</v>
          </cell>
          <cell r="L209" t="str">
            <v>四川省达州市达川区石板镇铜宝村３组２６７号</v>
          </cell>
          <cell r="M209" t="str">
            <v>四川省达县石板镇铜宝村３组２６７号</v>
          </cell>
        </row>
        <row r="209">
          <cell r="R209" t="str">
            <v>51302119361128044211</v>
          </cell>
          <cell r="S209" t="str">
            <v>视力</v>
          </cell>
          <cell r="T209" t="str">
            <v>一级</v>
          </cell>
          <cell r="U209" t="str">
            <v>视力一级;</v>
          </cell>
        </row>
        <row r="210">
          <cell r="B210" t="str">
            <v>513021195504040450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15892987141</v>
          </cell>
          <cell r="J210" t="str">
            <v>石板街道</v>
          </cell>
          <cell r="K210" t="str">
            <v>铜宝村</v>
          </cell>
          <cell r="L210" t="str">
            <v>四川省达州市达川区石板街道铜宝村2组</v>
          </cell>
          <cell r="M210" t="str">
            <v>四川省达州市达川区石板街道铜宝村2组</v>
          </cell>
        </row>
        <row r="210">
          <cell r="R210" t="str">
            <v>51302119550404045044</v>
          </cell>
          <cell r="S210" t="str">
            <v>肢体</v>
          </cell>
          <cell r="T210" t="str">
            <v>四级</v>
          </cell>
          <cell r="U210" t="str">
            <v>肢体四级;</v>
          </cell>
        </row>
        <row r="211">
          <cell r="B211" t="str">
            <v>513021196606070444</v>
          </cell>
          <cell r="C211" t="str">
            <v>女</v>
          </cell>
          <cell r="D211" t="str">
            <v>汉族</v>
          </cell>
          <cell r="E211" t="str">
            <v>小学</v>
          </cell>
          <cell r="F211" t="str">
            <v>已婚</v>
          </cell>
          <cell r="G211" t="str">
            <v>农业</v>
          </cell>
        </row>
        <row r="211">
          <cell r="I211" t="str">
            <v>13419053152</v>
          </cell>
          <cell r="J211" t="str">
            <v>石板街道</v>
          </cell>
          <cell r="K211" t="str">
            <v>铜宝村</v>
          </cell>
          <cell r="L211" t="str">
            <v>四川省达州市达川区石板镇铜宝村２组１７３号</v>
          </cell>
          <cell r="M211" t="str">
            <v>四川省达县石板镇铜宝村２组１７３号</v>
          </cell>
          <cell r="N211" t="str">
            <v>白学春</v>
          </cell>
          <cell r="O211" t="str">
            <v>父母</v>
          </cell>
        </row>
        <row r="211">
          <cell r="Q211" t="str">
            <v>13419053152</v>
          </cell>
          <cell r="R211" t="str">
            <v>51302119660607044453</v>
          </cell>
          <cell r="S211" t="str">
            <v>智力</v>
          </cell>
          <cell r="T211" t="str">
            <v>三级</v>
          </cell>
          <cell r="U211" t="str">
            <v>智力三级;</v>
          </cell>
        </row>
        <row r="212">
          <cell r="B212" t="str">
            <v>51302119640205045X</v>
          </cell>
          <cell r="C212" t="str">
            <v>男</v>
          </cell>
          <cell r="D212" t="str">
            <v>汉族</v>
          </cell>
          <cell r="E212" t="str">
            <v>初中</v>
          </cell>
          <cell r="F212" t="str">
            <v>已婚</v>
          </cell>
          <cell r="G212" t="str">
            <v>非农业</v>
          </cell>
        </row>
        <row r="212">
          <cell r="I212" t="str">
            <v>000000000</v>
          </cell>
          <cell r="J212" t="str">
            <v>石板街道</v>
          </cell>
          <cell r="K212" t="str">
            <v>铜宝村</v>
          </cell>
          <cell r="L212" t="str">
            <v>四川省达州市达川区石板镇政府街600号</v>
          </cell>
          <cell r="M212" t="str">
            <v>四川省达州市达川区石板镇政府街600号</v>
          </cell>
        </row>
        <row r="212">
          <cell r="R212" t="str">
            <v>51302119640205045X44</v>
          </cell>
          <cell r="S212" t="str">
            <v>肢体</v>
          </cell>
          <cell r="T212" t="str">
            <v>四级</v>
          </cell>
          <cell r="U212" t="str">
            <v>肢体四级;</v>
          </cell>
        </row>
        <row r="213">
          <cell r="B213" t="str">
            <v>513021196908130457</v>
          </cell>
          <cell r="C213" t="str">
            <v>男</v>
          </cell>
          <cell r="D213" t="str">
            <v>汉族</v>
          </cell>
          <cell r="E213" t="str">
            <v>初中</v>
          </cell>
          <cell r="F213" t="str">
            <v>未婚</v>
          </cell>
          <cell r="G213" t="str">
            <v>农业</v>
          </cell>
        </row>
        <row r="213">
          <cell r="I213" t="str">
            <v>15508207382</v>
          </cell>
          <cell r="J213" t="str">
            <v>石板街道</v>
          </cell>
          <cell r="K213" t="str">
            <v>铜宝村</v>
          </cell>
          <cell r="L213" t="str">
            <v>四川省达州市达川区石板镇铜坪村3组</v>
          </cell>
          <cell r="M213" t="str">
            <v>四川省达州市达川区石板镇铜坪村3组</v>
          </cell>
          <cell r="N213" t="str">
            <v>潘传杰</v>
          </cell>
          <cell r="O213" t="str">
            <v>兄/弟/姐/妹</v>
          </cell>
        </row>
        <row r="213">
          <cell r="Q213" t="str">
            <v>15508207382</v>
          </cell>
          <cell r="R213" t="str">
            <v>51302119690813045763</v>
          </cell>
          <cell r="S213" t="str">
            <v>精神</v>
          </cell>
          <cell r="T213" t="str">
            <v>三级</v>
          </cell>
          <cell r="U213" t="str">
            <v>精神三级;</v>
          </cell>
        </row>
        <row r="214">
          <cell r="B214" t="str">
            <v>513021194710090446</v>
          </cell>
          <cell r="C214" t="str">
            <v>女</v>
          </cell>
          <cell r="D214" t="str">
            <v>汉族</v>
          </cell>
          <cell r="E214" t="str">
            <v>初中</v>
          </cell>
          <cell r="F214" t="str">
            <v>已婚</v>
          </cell>
          <cell r="G214" t="str">
            <v>农业</v>
          </cell>
        </row>
        <row r="214">
          <cell r="I214" t="str">
            <v>13508266301</v>
          </cell>
          <cell r="J214" t="str">
            <v>石板街道</v>
          </cell>
          <cell r="K214" t="str">
            <v>铜宝村</v>
          </cell>
          <cell r="L214" t="str">
            <v>四川省达州市达川区石板镇铜宝村5组</v>
          </cell>
          <cell r="M214" t="str">
            <v>四川省达县石板镇铜宝村5组</v>
          </cell>
        </row>
        <row r="214">
          <cell r="R214" t="str">
            <v>51302119471009044623</v>
          </cell>
          <cell r="S214" t="str">
            <v>听力</v>
          </cell>
          <cell r="T214" t="str">
            <v>三级</v>
          </cell>
          <cell r="U214" t="str">
            <v>听力三级;</v>
          </cell>
        </row>
        <row r="215">
          <cell r="B215" t="str">
            <v>513021193908080441</v>
          </cell>
          <cell r="C215" t="str">
            <v>女</v>
          </cell>
          <cell r="D215" t="str">
            <v>汉族</v>
          </cell>
          <cell r="E215" t="str">
            <v>文盲</v>
          </cell>
          <cell r="F215" t="str">
            <v>已婚</v>
          </cell>
          <cell r="G215" t="str">
            <v>农业</v>
          </cell>
        </row>
        <row r="215">
          <cell r="I215" t="str">
            <v>13198730557</v>
          </cell>
          <cell r="J215" t="str">
            <v>石板街道</v>
          </cell>
          <cell r="K215" t="str">
            <v>铜宝村</v>
          </cell>
          <cell r="L215" t="str">
            <v>四川省达州市达川区石板镇铜宝村2组</v>
          </cell>
          <cell r="M215" t="str">
            <v>四川省达州市达川区石板镇铜宝村2组</v>
          </cell>
        </row>
        <row r="215">
          <cell r="R215" t="str">
            <v>51302119390808044141</v>
          </cell>
          <cell r="S215" t="str">
            <v>肢体</v>
          </cell>
          <cell r="T215" t="str">
            <v>一级</v>
          </cell>
          <cell r="U215" t="str">
            <v>肢体一级;</v>
          </cell>
        </row>
        <row r="216">
          <cell r="B216" t="str">
            <v>513021195410230448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15228074199</v>
          </cell>
          <cell r="J216" t="str">
            <v>石板街道</v>
          </cell>
          <cell r="K216" t="str">
            <v>铜宝村</v>
          </cell>
          <cell r="L216" t="str">
            <v>四川省达州市达川区石板镇铜宝村5组</v>
          </cell>
          <cell r="M216" t="str">
            <v>四川省达州市达川区石板镇铜宝村5组</v>
          </cell>
        </row>
        <row r="216">
          <cell r="R216" t="str">
            <v>51302119541023044814</v>
          </cell>
          <cell r="S216" t="str">
            <v>视力</v>
          </cell>
          <cell r="T216" t="str">
            <v>四级</v>
          </cell>
          <cell r="U216" t="str">
            <v>视力四级;</v>
          </cell>
        </row>
        <row r="217">
          <cell r="B217" t="str">
            <v>513021195602050441</v>
          </cell>
          <cell r="C217" t="str">
            <v>女</v>
          </cell>
          <cell r="D217" t="str">
            <v>汉族</v>
          </cell>
          <cell r="E217" t="str">
            <v>初中</v>
          </cell>
          <cell r="F217" t="str">
            <v>已婚</v>
          </cell>
          <cell r="G217" t="str">
            <v>农业</v>
          </cell>
        </row>
        <row r="217">
          <cell r="I217" t="str">
            <v>15196864761</v>
          </cell>
          <cell r="J217" t="str">
            <v>石板街道</v>
          </cell>
          <cell r="K217" t="str">
            <v>铜宝村</v>
          </cell>
          <cell r="L217" t="str">
            <v>四川省达州市达川区石板街道铜宝村4组</v>
          </cell>
          <cell r="M217" t="str">
            <v>四川省达州市达川区石板街道铜宝村4组</v>
          </cell>
        </row>
        <row r="217">
          <cell r="R217" t="str">
            <v>51302119560205044144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513021196301280870</v>
          </cell>
          <cell r="C218" t="str">
            <v>男</v>
          </cell>
          <cell r="D218" t="str">
            <v>汉族</v>
          </cell>
          <cell r="E218" t="str">
            <v>小学</v>
          </cell>
          <cell r="F218" t="str">
            <v>已婚</v>
          </cell>
          <cell r="G218" t="str">
            <v>非农业</v>
          </cell>
        </row>
        <row r="218">
          <cell r="I218" t="str">
            <v>15984483362</v>
          </cell>
          <cell r="J218" t="str">
            <v>石板街道</v>
          </cell>
          <cell r="K218" t="str">
            <v>铜宝村</v>
          </cell>
          <cell r="L218" t="str">
            <v>四川省达州市达川区石板镇政府街600号</v>
          </cell>
          <cell r="M218" t="str">
            <v>四川省达州市达川区石板镇政府街600号</v>
          </cell>
          <cell r="N218" t="str">
            <v>王吉兰</v>
          </cell>
          <cell r="O218" t="str">
            <v>配偶</v>
          </cell>
        </row>
        <row r="218">
          <cell r="Q218" t="str">
            <v>15984483362</v>
          </cell>
          <cell r="R218" t="str">
            <v>51302119630128087053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513021193312014777</v>
          </cell>
          <cell r="C219" t="str">
            <v>男</v>
          </cell>
          <cell r="D219" t="str">
            <v>汉族</v>
          </cell>
          <cell r="E219" t="str">
            <v>小学</v>
          </cell>
          <cell r="F219" t="str">
            <v>已婚</v>
          </cell>
          <cell r="G219" t="str">
            <v>农业</v>
          </cell>
        </row>
        <row r="219">
          <cell r="I219" t="str">
            <v>18384805573</v>
          </cell>
          <cell r="J219" t="str">
            <v>石板街道</v>
          </cell>
          <cell r="K219" t="str">
            <v>铜宝村</v>
          </cell>
          <cell r="L219" t="str">
            <v>四川省达州市达川区石板镇铜宝村5组473号</v>
          </cell>
          <cell r="M219" t="str">
            <v>四川省达州市达川区石板镇铜宝村5组473号</v>
          </cell>
        </row>
        <row r="219">
          <cell r="R219" t="str">
            <v>51302119331201477714</v>
          </cell>
          <cell r="S219" t="str">
            <v>视力</v>
          </cell>
          <cell r="T219" t="str">
            <v>四级</v>
          </cell>
          <cell r="U219" t="str">
            <v>视力四级;</v>
          </cell>
        </row>
        <row r="220">
          <cell r="B220" t="str">
            <v>51302119990715045X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未婚</v>
          </cell>
          <cell r="G220" t="str">
            <v>农业</v>
          </cell>
        </row>
        <row r="220">
          <cell r="I220" t="str">
            <v>13079006119</v>
          </cell>
          <cell r="J220" t="str">
            <v>石板街道</v>
          </cell>
          <cell r="K220" t="str">
            <v>铜宝村</v>
          </cell>
          <cell r="L220" t="str">
            <v>四川省达州市达川区石板街道铜宝村10组</v>
          </cell>
          <cell r="M220" t="str">
            <v>四川省达州市达川区石板街道铜宝村10组</v>
          </cell>
          <cell r="N220" t="str">
            <v>李盛政</v>
          </cell>
          <cell r="O220" t="str">
            <v>父母</v>
          </cell>
        </row>
        <row r="220">
          <cell r="Q220" t="str">
            <v>13079006119</v>
          </cell>
          <cell r="R220" t="str">
            <v>51302119990715045X62</v>
          </cell>
          <cell r="S220" t="str">
            <v>精神</v>
          </cell>
          <cell r="T220" t="str">
            <v>二级</v>
          </cell>
          <cell r="U220" t="str">
            <v>精神二级;</v>
          </cell>
        </row>
        <row r="221">
          <cell r="B221" t="str">
            <v>513021195105040496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丧偶</v>
          </cell>
          <cell r="G221" t="str">
            <v>农业</v>
          </cell>
        </row>
        <row r="221">
          <cell r="I221" t="str">
            <v>00000000</v>
          </cell>
          <cell r="J221" t="str">
            <v>石板街道</v>
          </cell>
          <cell r="K221" t="str">
            <v>铜宝村</v>
          </cell>
          <cell r="L221" t="str">
            <v>四川省达县石板镇铜宝村3组</v>
          </cell>
          <cell r="M221" t="str">
            <v>四川省达县石板镇铜宝村3组</v>
          </cell>
        </row>
        <row r="221">
          <cell r="R221" t="str">
            <v>51302119510504049644</v>
          </cell>
          <cell r="S221" t="str">
            <v>肢体</v>
          </cell>
          <cell r="T221" t="str">
            <v>四级</v>
          </cell>
          <cell r="U221" t="str">
            <v>肢体四级;</v>
          </cell>
        </row>
        <row r="222">
          <cell r="B222" t="str">
            <v>513021196306260457</v>
          </cell>
          <cell r="C222" t="str">
            <v>男</v>
          </cell>
          <cell r="D222" t="str">
            <v>汉族</v>
          </cell>
          <cell r="E222" t="str">
            <v>初中</v>
          </cell>
          <cell r="F222" t="str">
            <v>已婚</v>
          </cell>
          <cell r="G222" t="str">
            <v>农业</v>
          </cell>
        </row>
        <row r="222">
          <cell r="I222" t="str">
            <v>00000000</v>
          </cell>
          <cell r="J222" t="str">
            <v>石板街道</v>
          </cell>
          <cell r="K222" t="str">
            <v>铜宝村</v>
          </cell>
          <cell r="L222" t="str">
            <v>四川省达县石板镇铜宝村1组</v>
          </cell>
          <cell r="M222" t="str">
            <v>四川省达县石板镇铜宝村1组</v>
          </cell>
        </row>
        <row r="222">
          <cell r="R222" t="str">
            <v>51302119630626045714</v>
          </cell>
          <cell r="S222" t="str">
            <v>视力</v>
          </cell>
          <cell r="T222" t="str">
            <v>四级</v>
          </cell>
          <cell r="U222" t="str">
            <v>视力四级;</v>
          </cell>
        </row>
        <row r="223">
          <cell r="B223" t="str">
            <v>513021196307080458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18782890289</v>
          </cell>
          <cell r="J223" t="str">
            <v>石板街道</v>
          </cell>
          <cell r="K223" t="str">
            <v>铜宝村</v>
          </cell>
          <cell r="L223" t="str">
            <v>四川省达州市达川区石板街道铜宝村5组</v>
          </cell>
          <cell r="M223" t="str">
            <v>四川省达州市达川区石板街道铜宝村5组</v>
          </cell>
        </row>
        <row r="223">
          <cell r="R223" t="str">
            <v>51302119630708045844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513021195608170495</v>
          </cell>
          <cell r="C224" t="str">
            <v>男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18782885184</v>
          </cell>
          <cell r="J224" t="str">
            <v>石板街道</v>
          </cell>
          <cell r="K224" t="str">
            <v>铜宝村</v>
          </cell>
          <cell r="L224" t="str">
            <v>四川省达州市达川区石板街道铜宝村5组</v>
          </cell>
          <cell r="M224" t="str">
            <v>四川省达州市达川区石板街道铜宝村5组</v>
          </cell>
        </row>
        <row r="224">
          <cell r="R224" t="str">
            <v>51302119560817049544</v>
          </cell>
          <cell r="S224" t="str">
            <v>肢体</v>
          </cell>
          <cell r="T224" t="str">
            <v>四级</v>
          </cell>
          <cell r="U224" t="str">
            <v>肢体四级;</v>
          </cell>
        </row>
        <row r="225">
          <cell r="B225" t="str">
            <v>513021198503030625</v>
          </cell>
          <cell r="C225" t="str">
            <v>女</v>
          </cell>
          <cell r="D225" t="str">
            <v>汉族</v>
          </cell>
          <cell r="E225" t="str">
            <v>小学</v>
          </cell>
          <cell r="F225" t="str">
            <v>已婚</v>
          </cell>
          <cell r="G225" t="str">
            <v>农业</v>
          </cell>
        </row>
        <row r="225">
          <cell r="I225" t="str">
            <v>13642911990</v>
          </cell>
          <cell r="J225" t="str">
            <v>石板街道</v>
          </cell>
          <cell r="K225" t="str">
            <v>铜宝村</v>
          </cell>
          <cell r="L225" t="str">
            <v>四川省达州市达川区石板街道铜宝村9组</v>
          </cell>
          <cell r="M225" t="str">
            <v>四川省达州市达川区石板街道铜宝村9组</v>
          </cell>
          <cell r="N225" t="str">
            <v>伍峰</v>
          </cell>
          <cell r="O225" t="str">
            <v>配偶</v>
          </cell>
        </row>
        <row r="225">
          <cell r="Q225" t="str">
            <v>13642911990</v>
          </cell>
          <cell r="R225" t="str">
            <v>51302119850303062562</v>
          </cell>
          <cell r="S225" t="str">
            <v>精神</v>
          </cell>
          <cell r="T225" t="str">
            <v>二级</v>
          </cell>
          <cell r="U225" t="str">
            <v>精神二级;</v>
          </cell>
        </row>
        <row r="226">
          <cell r="B226" t="str">
            <v>513021196311120440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15680196932</v>
          </cell>
          <cell r="J226" t="str">
            <v>石板街道</v>
          </cell>
          <cell r="K226" t="str">
            <v>铜宝村</v>
          </cell>
          <cell r="L226" t="str">
            <v>四川省达州市达川区石板街道铜宝村2组</v>
          </cell>
          <cell r="M226" t="str">
            <v>四川省达州市达川区石板街道铜宝村2组</v>
          </cell>
        </row>
        <row r="226">
          <cell r="R226" t="str">
            <v>51302119631112044044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513021195304170453</v>
          </cell>
          <cell r="C227" t="str">
            <v>男</v>
          </cell>
          <cell r="D227" t="str">
            <v>汉族</v>
          </cell>
          <cell r="E227" t="str">
            <v>文盲</v>
          </cell>
          <cell r="F227" t="str">
            <v>已婚</v>
          </cell>
          <cell r="G227" t="str">
            <v>农业</v>
          </cell>
        </row>
        <row r="227">
          <cell r="I227" t="str">
            <v>18228684378</v>
          </cell>
          <cell r="J227" t="str">
            <v>石板街道</v>
          </cell>
          <cell r="K227" t="str">
            <v>铜宝村</v>
          </cell>
          <cell r="L227" t="str">
            <v>四川省达州市达川区石板镇铜宝村1组</v>
          </cell>
          <cell r="M227" t="str">
            <v>四川省达州市达川区石板镇铜宝村1组</v>
          </cell>
        </row>
        <row r="227">
          <cell r="R227" t="str">
            <v>51302119530417045343</v>
          </cell>
          <cell r="S227" t="str">
            <v>肢体</v>
          </cell>
          <cell r="T227" t="str">
            <v>三级</v>
          </cell>
          <cell r="U227" t="str">
            <v>肢体三级;</v>
          </cell>
        </row>
        <row r="228">
          <cell r="B228" t="str">
            <v>513021194201280452</v>
          </cell>
          <cell r="C228" t="str">
            <v>男</v>
          </cell>
          <cell r="D228" t="str">
            <v>汉族</v>
          </cell>
          <cell r="E228" t="str">
            <v>小学</v>
          </cell>
          <cell r="F228" t="str">
            <v>已婚</v>
          </cell>
          <cell r="G228" t="str">
            <v>农业</v>
          </cell>
        </row>
        <row r="228">
          <cell r="I228" t="str">
            <v>18782833304</v>
          </cell>
          <cell r="J228" t="str">
            <v>石板街道</v>
          </cell>
          <cell r="K228" t="str">
            <v>铜宝村</v>
          </cell>
          <cell r="L228" t="str">
            <v>四川省达州市达川区石板镇铜宝村5组469号</v>
          </cell>
          <cell r="M228" t="str">
            <v>四川省达州市达川区石板镇铜宝村5组469号</v>
          </cell>
        </row>
        <row r="228">
          <cell r="R228" t="str">
            <v>51302119420128045244</v>
          </cell>
          <cell r="S228" t="str">
            <v>肢体</v>
          </cell>
          <cell r="T228" t="str">
            <v>四级</v>
          </cell>
          <cell r="U228" t="str">
            <v>肢体四级;</v>
          </cell>
        </row>
        <row r="229">
          <cell r="B229" t="str">
            <v>513021197302130473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15228023485</v>
          </cell>
          <cell r="J229" t="str">
            <v>石板街道</v>
          </cell>
          <cell r="K229" t="str">
            <v>铜宝村</v>
          </cell>
          <cell r="L229" t="str">
            <v>四川省达州市达川区石板镇铜宝村4组</v>
          </cell>
          <cell r="M229" t="str">
            <v>四川省达州市达川区石板镇铜宝村4组</v>
          </cell>
          <cell r="N229" t="str">
            <v>黄义琼</v>
          </cell>
          <cell r="O229" t="str">
            <v>兄/弟/姐/妹</v>
          </cell>
        </row>
        <row r="229">
          <cell r="Q229" t="str">
            <v>13696408808</v>
          </cell>
          <cell r="R229" t="str">
            <v>51302119730213047352</v>
          </cell>
          <cell r="S229" t="str">
            <v>智力</v>
          </cell>
          <cell r="T229" t="str">
            <v>二级</v>
          </cell>
          <cell r="U229" t="str">
            <v>智力二级;</v>
          </cell>
        </row>
        <row r="230">
          <cell r="B230" t="str">
            <v>51172120070729571X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未婚</v>
          </cell>
          <cell r="G230" t="str">
            <v>农业</v>
          </cell>
        </row>
        <row r="230">
          <cell r="I230" t="str">
            <v>15281892149</v>
          </cell>
          <cell r="J230" t="str">
            <v>石板街道</v>
          </cell>
          <cell r="K230" t="str">
            <v>铜宝村</v>
          </cell>
          <cell r="L230" t="str">
            <v>四川省达州市达川区石板镇铜平村3组</v>
          </cell>
          <cell r="M230" t="str">
            <v>四川省达州市达川区石板镇铜平村3组</v>
          </cell>
          <cell r="N230" t="str">
            <v>陈平菊</v>
          </cell>
          <cell r="O230" t="str">
            <v>父母</v>
          </cell>
        </row>
        <row r="230">
          <cell r="Q230" t="str">
            <v>15281892149</v>
          </cell>
          <cell r="R230" t="str">
            <v>51172120070729571X53</v>
          </cell>
          <cell r="S230" t="str">
            <v>智力</v>
          </cell>
          <cell r="T230" t="str">
            <v>三级</v>
          </cell>
          <cell r="U230" t="str">
            <v>智力三级;</v>
          </cell>
        </row>
        <row r="231">
          <cell r="B231" t="str">
            <v>513021194208230458</v>
          </cell>
          <cell r="C231" t="str">
            <v>男</v>
          </cell>
          <cell r="D231" t="str">
            <v>汉族</v>
          </cell>
          <cell r="E231" t="str">
            <v>小学</v>
          </cell>
          <cell r="F231" t="str">
            <v>已婚</v>
          </cell>
          <cell r="G231" t="str">
            <v>农业</v>
          </cell>
        </row>
        <row r="231">
          <cell r="I231" t="str">
            <v>13079056398</v>
          </cell>
          <cell r="J231" t="str">
            <v>石板街道</v>
          </cell>
          <cell r="K231" t="str">
            <v>铜宝村</v>
          </cell>
          <cell r="L231" t="str">
            <v>四川省达州市达川区石板镇铜宝村1组</v>
          </cell>
          <cell r="M231" t="str">
            <v>四川省达州市达川区石板镇铜宝村1组</v>
          </cell>
          <cell r="N231" t="str">
            <v>熊光英</v>
          </cell>
          <cell r="O231" t="str">
            <v>配偶</v>
          </cell>
        </row>
        <row r="231">
          <cell r="Q231" t="str">
            <v>13079056398</v>
          </cell>
          <cell r="R231" t="str">
            <v>51302119420823045852</v>
          </cell>
          <cell r="S231" t="str">
            <v>智力</v>
          </cell>
          <cell r="T231" t="str">
            <v>二级</v>
          </cell>
          <cell r="U231" t="str">
            <v>智力二级;</v>
          </cell>
        </row>
        <row r="232">
          <cell r="B232" t="str">
            <v>513021194310190456</v>
          </cell>
          <cell r="C232" t="str">
            <v>男</v>
          </cell>
          <cell r="D232" t="str">
            <v>汉族</v>
          </cell>
          <cell r="E232" t="str">
            <v>小学</v>
          </cell>
          <cell r="F232" t="str">
            <v>已婚</v>
          </cell>
          <cell r="G232" t="str">
            <v>农业</v>
          </cell>
        </row>
        <row r="232">
          <cell r="I232" t="str">
            <v>15181468258</v>
          </cell>
          <cell r="J232" t="str">
            <v>石板街道</v>
          </cell>
          <cell r="K232" t="str">
            <v>铜宝村</v>
          </cell>
          <cell r="L232" t="str">
            <v>四川省达州市达川区石板镇铜宝村4组</v>
          </cell>
          <cell r="M232" t="str">
            <v>四川省达州市达川区石板镇铜宝村4组</v>
          </cell>
        </row>
        <row r="232">
          <cell r="R232" t="str">
            <v>51302119431019045614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513021194308200459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已婚</v>
          </cell>
          <cell r="G233" t="str">
            <v>农业</v>
          </cell>
        </row>
        <row r="233">
          <cell r="I233" t="str">
            <v>15528879386</v>
          </cell>
          <cell r="J233" t="str">
            <v>石板街道</v>
          </cell>
          <cell r="K233" t="str">
            <v>铜宝村</v>
          </cell>
          <cell r="L233" t="str">
            <v>四川省达州市达川区石板街道铜宝村3组</v>
          </cell>
          <cell r="M233" t="str">
            <v>四川省达州市达川区石板街道铜宝村3组</v>
          </cell>
        </row>
        <row r="233">
          <cell r="R233" t="str">
            <v>51302119430820045943</v>
          </cell>
          <cell r="S233" t="str">
            <v>肢体</v>
          </cell>
          <cell r="T233" t="str">
            <v>三级</v>
          </cell>
          <cell r="U233" t="str">
            <v>肢体三级;</v>
          </cell>
        </row>
        <row r="234">
          <cell r="B234" t="str">
            <v>513029197102050357</v>
          </cell>
          <cell r="C234" t="str">
            <v>男</v>
          </cell>
          <cell r="D234" t="str">
            <v>汉族</v>
          </cell>
          <cell r="E234" t="str">
            <v>初中</v>
          </cell>
          <cell r="F234" t="str">
            <v>已婚</v>
          </cell>
          <cell r="G234" t="str">
            <v>非农业</v>
          </cell>
        </row>
        <row r="234">
          <cell r="I234" t="str">
            <v>15082855265</v>
          </cell>
          <cell r="J234" t="str">
            <v>石板街道</v>
          </cell>
          <cell r="K234" t="str">
            <v>金刚煤矿矿区居民委员会</v>
          </cell>
          <cell r="L234" t="str">
            <v>四川省达州市达川区石板街道金刚煤矿矿区居民委员会金刚街２号</v>
          </cell>
          <cell r="M234" t="str">
            <v>四川省达州市达川区石板街道金刚煤矿矿区居民委员会金刚街２号</v>
          </cell>
        </row>
        <row r="234">
          <cell r="O234" t="str">
            <v>其他</v>
          </cell>
        </row>
        <row r="234">
          <cell r="R234" t="str">
            <v>51302919710205035744</v>
          </cell>
          <cell r="S234" t="str">
            <v>肢体</v>
          </cell>
          <cell r="T234" t="str">
            <v>四级</v>
          </cell>
          <cell r="U234" t="str">
            <v>肢体四级;</v>
          </cell>
        </row>
        <row r="235">
          <cell r="B235" t="str">
            <v>513021195102100211</v>
          </cell>
          <cell r="C235" t="str">
            <v>男</v>
          </cell>
          <cell r="D235" t="str">
            <v>汉族</v>
          </cell>
          <cell r="E235" t="str">
            <v>初中</v>
          </cell>
          <cell r="F235" t="str">
            <v>已婚</v>
          </cell>
          <cell r="G235" t="str">
            <v>非农业</v>
          </cell>
        </row>
        <row r="235">
          <cell r="I235" t="str">
            <v>13547249803</v>
          </cell>
          <cell r="J235" t="str">
            <v>石板街道</v>
          </cell>
          <cell r="K235" t="str">
            <v>金刚煤矿矿区居民委员会</v>
          </cell>
          <cell r="L235" t="str">
            <v>四川省达州市达川区石板街道金刚煤矿矿区居民委员会金刚街２号</v>
          </cell>
          <cell r="M235" t="str">
            <v>四川省达州市达川区石板街道金刚煤矿矿区居民委员会金刚街２号</v>
          </cell>
        </row>
        <row r="235">
          <cell r="O235" t="str">
            <v>其他</v>
          </cell>
        </row>
        <row r="235">
          <cell r="R235" t="str">
            <v>51302119510210021114</v>
          </cell>
          <cell r="S235" t="str">
            <v>视力</v>
          </cell>
          <cell r="T235" t="str">
            <v>四级</v>
          </cell>
          <cell r="U235" t="str">
            <v>视力四级;</v>
          </cell>
        </row>
        <row r="236">
          <cell r="B236" t="str">
            <v>513021196210120230</v>
          </cell>
          <cell r="C236" t="str">
            <v>男</v>
          </cell>
          <cell r="D236" t="str">
            <v>汉族</v>
          </cell>
          <cell r="E236" t="str">
            <v>初中</v>
          </cell>
          <cell r="F236" t="str">
            <v>已婚</v>
          </cell>
          <cell r="G236" t="str">
            <v>非农业</v>
          </cell>
        </row>
        <row r="236">
          <cell r="I236" t="str">
            <v>13541806685</v>
          </cell>
          <cell r="J236" t="str">
            <v>石板街道</v>
          </cell>
          <cell r="K236" t="str">
            <v>金刚煤矿矿区居民委员会</v>
          </cell>
          <cell r="L236" t="str">
            <v>四川省达州市达川区石板镇金刚街１号６栋３单元７号</v>
          </cell>
          <cell r="M236" t="str">
            <v>四川省达县石板镇金刚街１号６栋３单元７号</v>
          </cell>
          <cell r="N236" t="str">
            <v>黄群英</v>
          </cell>
          <cell r="O236" t="str">
            <v>配偶</v>
          </cell>
        </row>
        <row r="236">
          <cell r="Q236" t="str">
            <v>13541806685</v>
          </cell>
          <cell r="R236" t="str">
            <v>51302119621012023044</v>
          </cell>
          <cell r="S236" t="str">
            <v>肢体</v>
          </cell>
          <cell r="T236" t="str">
            <v>四级</v>
          </cell>
          <cell r="U236" t="str">
            <v>肢体四级;</v>
          </cell>
        </row>
        <row r="237">
          <cell r="B237" t="str">
            <v>513021194609020232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已婚</v>
          </cell>
          <cell r="G237" t="str">
            <v>非农业</v>
          </cell>
        </row>
        <row r="237">
          <cell r="I237" t="str">
            <v>15281880135</v>
          </cell>
          <cell r="J237" t="str">
            <v>石板街道</v>
          </cell>
          <cell r="K237" t="str">
            <v>金刚煤矿矿区居民委员会</v>
          </cell>
          <cell r="L237" t="str">
            <v>四川省达州市达川区石板街道金刚煤矿矿区居民委员会金刚街１号５栋１单元１号</v>
          </cell>
          <cell r="M237" t="str">
            <v>四川省达州市达川区石板街道金刚煤矿矿区居民委员会金刚街１号５栋１单元１号</v>
          </cell>
        </row>
        <row r="237">
          <cell r="R237" t="str">
            <v>51302119460902023243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513021197103101135</v>
          </cell>
          <cell r="C238" t="str">
            <v>男</v>
          </cell>
          <cell r="D238" t="str">
            <v>汉族</v>
          </cell>
          <cell r="E238" t="str">
            <v>初中</v>
          </cell>
          <cell r="F238" t="str">
            <v>已婚</v>
          </cell>
          <cell r="G238" t="str">
            <v>非农业</v>
          </cell>
        </row>
        <row r="238">
          <cell r="I238" t="str">
            <v>18381996872</v>
          </cell>
          <cell r="J238" t="str">
            <v>石板街道</v>
          </cell>
          <cell r="K238" t="str">
            <v>金刚煤矿矿区居民委员会</v>
          </cell>
          <cell r="L238" t="str">
            <v>四川省达州市达川区石板街道金刚煤矿矿区居民委员会金刚街2号</v>
          </cell>
          <cell r="M238" t="str">
            <v>四川省达州市达川区石板街道金刚煤矿矿区居民委员会金刚街2号</v>
          </cell>
        </row>
        <row r="238">
          <cell r="R238" t="str">
            <v>51302119710310113543</v>
          </cell>
          <cell r="S238" t="str">
            <v>肢体</v>
          </cell>
          <cell r="T238" t="str">
            <v>三级</v>
          </cell>
          <cell r="U238" t="str">
            <v>肢体三级;</v>
          </cell>
        </row>
        <row r="239">
          <cell r="B239" t="str">
            <v>513021197609060190</v>
          </cell>
          <cell r="C239" t="str">
            <v>男</v>
          </cell>
          <cell r="D239" t="str">
            <v>汉族</v>
          </cell>
          <cell r="E239" t="str">
            <v>小学</v>
          </cell>
          <cell r="F239" t="str">
            <v>未婚</v>
          </cell>
          <cell r="G239" t="str">
            <v>非农业</v>
          </cell>
        </row>
        <row r="239">
          <cell r="I239" t="str">
            <v>13551471615</v>
          </cell>
          <cell r="J239" t="str">
            <v>石板街道</v>
          </cell>
          <cell r="K239" t="str">
            <v>金刚煤矿矿区居民委员会</v>
          </cell>
          <cell r="L239" t="str">
            <v>四川省达州市达川区石板街道金刚煤矿矿区居民委员会金刚街2号</v>
          </cell>
          <cell r="M239" t="str">
            <v>四川省达州市达川区石板街道金刚煤矿矿区居民委员会金刚街2号</v>
          </cell>
        </row>
        <row r="239">
          <cell r="R239" t="str">
            <v>51302119760906019044B1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513021198706180447</v>
          </cell>
          <cell r="C240" t="str">
            <v>女</v>
          </cell>
          <cell r="D240" t="str">
            <v>汉族</v>
          </cell>
          <cell r="E240" t="str">
            <v>小学</v>
          </cell>
          <cell r="F240" t="str">
            <v>已婚</v>
          </cell>
          <cell r="G240" t="str">
            <v>非农业</v>
          </cell>
        </row>
        <row r="240">
          <cell r="I240" t="str">
            <v>15196858350</v>
          </cell>
          <cell r="J240" t="str">
            <v>石板街道</v>
          </cell>
          <cell r="K240" t="str">
            <v>金刚煤矿矿区居民委员会</v>
          </cell>
          <cell r="L240" t="str">
            <v>四川省达州市达川区石板街道金刚煤矿矿区居民委员会金刚街1号17栋2单元5号</v>
          </cell>
          <cell r="M240" t="str">
            <v>四川省达州市达川区石板街道金刚煤矿矿区居民委员会金刚街1号17栋2单元5号</v>
          </cell>
        </row>
        <row r="240">
          <cell r="R240" t="str">
            <v>51302119870618044742</v>
          </cell>
          <cell r="S240" t="str">
            <v>肢体</v>
          </cell>
          <cell r="T240" t="str">
            <v>二级</v>
          </cell>
          <cell r="U240" t="str">
            <v>肢体二级;</v>
          </cell>
        </row>
        <row r="241">
          <cell r="B241" t="str">
            <v>513021197409200195</v>
          </cell>
          <cell r="C241" t="str">
            <v>男</v>
          </cell>
          <cell r="D241" t="str">
            <v>汉族</v>
          </cell>
          <cell r="E241" t="str">
            <v>初中</v>
          </cell>
          <cell r="F241" t="str">
            <v>已婚</v>
          </cell>
          <cell r="G241" t="str">
            <v>非农业</v>
          </cell>
        </row>
        <row r="241">
          <cell r="I241" t="str">
            <v>15182850155</v>
          </cell>
          <cell r="J241" t="str">
            <v>石板街道</v>
          </cell>
          <cell r="K241" t="str">
            <v>金刚煤矿矿区居民委员会</v>
          </cell>
          <cell r="L241" t="str">
            <v>四川省达州市达川区石板街道金刚煤矿矿区居民委员会金刚街１号７栋５单元３号</v>
          </cell>
          <cell r="M241" t="str">
            <v>四川省达州市达川区石板街道金刚煤矿矿区居民委员会金刚街１号７栋５单元３号</v>
          </cell>
        </row>
        <row r="241">
          <cell r="R241" t="str">
            <v>51302119740920019544</v>
          </cell>
          <cell r="S241" t="str">
            <v>肢体</v>
          </cell>
          <cell r="T241" t="str">
            <v>四级</v>
          </cell>
          <cell r="U241" t="str">
            <v>肢体四级;</v>
          </cell>
        </row>
        <row r="242">
          <cell r="B242" t="str">
            <v>513021198508050190</v>
          </cell>
          <cell r="C242" t="str">
            <v>男</v>
          </cell>
          <cell r="D242" t="str">
            <v>汉族</v>
          </cell>
          <cell r="E242" t="str">
            <v>大专</v>
          </cell>
          <cell r="F242" t="str">
            <v>未婚</v>
          </cell>
          <cell r="G242" t="str">
            <v>非农业</v>
          </cell>
        </row>
        <row r="242">
          <cell r="I242" t="str">
            <v>15196896418</v>
          </cell>
          <cell r="J242" t="str">
            <v>石板街道</v>
          </cell>
          <cell r="K242" t="str">
            <v>金刚煤矿矿区居民委员会</v>
          </cell>
          <cell r="L242" t="str">
            <v>四川省达州市达川区石板街道金刚煤矿矿区居民委员会金刚街１号７栋单元２号</v>
          </cell>
          <cell r="M242" t="str">
            <v>四川省达州市达川区石板街道金刚煤矿矿区居民委员会金刚街１号７栋单元２号</v>
          </cell>
          <cell r="N242" t="str">
            <v>王正蓉</v>
          </cell>
          <cell r="O242" t="str">
            <v>父母</v>
          </cell>
        </row>
        <row r="242">
          <cell r="Q242" t="str">
            <v>15196896418</v>
          </cell>
          <cell r="R242" t="str">
            <v>51302119850805019063</v>
          </cell>
          <cell r="S242" t="str">
            <v>精神</v>
          </cell>
          <cell r="T242" t="str">
            <v>三级</v>
          </cell>
          <cell r="U242" t="str">
            <v>精神三级;</v>
          </cell>
        </row>
        <row r="243">
          <cell r="B243" t="str">
            <v>513027195110130929</v>
          </cell>
          <cell r="C243" t="str">
            <v>女</v>
          </cell>
          <cell r="D243" t="str">
            <v>汉族</v>
          </cell>
          <cell r="E243" t="str">
            <v>小学</v>
          </cell>
          <cell r="F243" t="str">
            <v>已婚</v>
          </cell>
          <cell r="G243" t="str">
            <v>非农业</v>
          </cell>
        </row>
        <row r="243">
          <cell r="I243" t="str">
            <v>15281871272</v>
          </cell>
          <cell r="J243" t="str">
            <v>石板街道</v>
          </cell>
          <cell r="K243" t="str">
            <v>金刚煤矿矿区居民委员会</v>
          </cell>
          <cell r="L243" t="str">
            <v>四川省达州市达川区石板街道金刚煤矿矿区居民委员会金刚街１号１１栋３楼２号</v>
          </cell>
          <cell r="M243" t="str">
            <v>四川省达州市达川区石板街道金刚煤矿矿区居民委员会金刚街１号１１栋３楼２号</v>
          </cell>
          <cell r="N243" t="str">
            <v>王家玉</v>
          </cell>
          <cell r="O243" t="str">
            <v>配偶</v>
          </cell>
        </row>
        <row r="243">
          <cell r="Q243" t="str">
            <v>15983899175</v>
          </cell>
          <cell r="R243" t="str">
            <v>51302719511013092961</v>
          </cell>
          <cell r="S243" t="str">
            <v>精神</v>
          </cell>
          <cell r="T243" t="str">
            <v>一级</v>
          </cell>
          <cell r="U243" t="str">
            <v>精神一级;</v>
          </cell>
        </row>
        <row r="244">
          <cell r="B244" t="str">
            <v>513027196202052248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非农业</v>
          </cell>
        </row>
        <row r="244">
          <cell r="I244" t="str">
            <v>13989164660</v>
          </cell>
          <cell r="J244" t="str">
            <v>石板街道</v>
          </cell>
          <cell r="K244" t="str">
            <v>金刚煤矿矿区居民委员会</v>
          </cell>
          <cell r="L244" t="str">
            <v>四川省达州市达川区石板街道金刚煤矿矿区居民委员会金刚街１号６栋１单元８号</v>
          </cell>
          <cell r="M244" t="str">
            <v>四川省达州市达川区石板街道金刚煤矿矿区居民委员会金刚街１号６栋１单元８号</v>
          </cell>
        </row>
        <row r="244">
          <cell r="R244" t="str">
            <v>51302719620205224844</v>
          </cell>
          <cell r="S244" t="str">
            <v>肢体</v>
          </cell>
          <cell r="T244" t="str">
            <v>四级</v>
          </cell>
          <cell r="U244" t="str">
            <v>肢体四级;</v>
          </cell>
        </row>
        <row r="245">
          <cell r="B245" t="str">
            <v>513021197306290191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非农业</v>
          </cell>
        </row>
        <row r="245">
          <cell r="I245" t="str">
            <v>13108982649</v>
          </cell>
          <cell r="J245" t="str">
            <v>石板街道</v>
          </cell>
          <cell r="K245" t="str">
            <v>金刚煤矿矿区居民委员会</v>
          </cell>
          <cell r="L245" t="str">
            <v>四川省达州市达川区石板街道金刚煤矿矿区居民委员会金刚街１号２５栋１单元２号</v>
          </cell>
          <cell r="M245" t="str">
            <v>四川省达州市达川区石板街道金刚煤矿矿区居民委员会金刚街１号２５栋１单元２号</v>
          </cell>
        </row>
        <row r="245">
          <cell r="R245" t="str">
            <v>51302119730629019144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513021195407250253</v>
          </cell>
          <cell r="C246" t="str">
            <v>男</v>
          </cell>
          <cell r="D246" t="str">
            <v>汉族</v>
          </cell>
          <cell r="E246" t="str">
            <v>初中</v>
          </cell>
          <cell r="F246" t="str">
            <v>已婚</v>
          </cell>
          <cell r="G246" t="str">
            <v>非农业</v>
          </cell>
        </row>
        <row r="246">
          <cell r="I246" t="str">
            <v>15082400089</v>
          </cell>
          <cell r="J246" t="str">
            <v>石板街道</v>
          </cell>
          <cell r="K246" t="str">
            <v>金刚煤矿矿区居民委员会</v>
          </cell>
          <cell r="L246" t="str">
            <v>四川省达州市达川区石板街道金刚煤矿矿区居民委员会金刚街2号</v>
          </cell>
          <cell r="M246" t="str">
            <v>四川省达州市达川区石板街道金刚煤矿矿区居民委员会金刚街2号</v>
          </cell>
        </row>
        <row r="246">
          <cell r="O246" t="str">
            <v>其他</v>
          </cell>
        </row>
        <row r="246">
          <cell r="R246" t="str">
            <v>51302119540725025344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513021196303080872</v>
          </cell>
          <cell r="C247" t="str">
            <v>男</v>
          </cell>
          <cell r="D247" t="str">
            <v>汉族</v>
          </cell>
          <cell r="E247" t="str">
            <v>初中</v>
          </cell>
          <cell r="F247" t="str">
            <v>已婚</v>
          </cell>
          <cell r="G247" t="str">
            <v>非农业</v>
          </cell>
        </row>
        <row r="247">
          <cell r="I247" t="str">
            <v>15982999766</v>
          </cell>
          <cell r="J247" t="str">
            <v>石板街道</v>
          </cell>
          <cell r="K247" t="str">
            <v>金刚煤矿矿区居民委员会</v>
          </cell>
          <cell r="L247" t="str">
            <v>四川省达州市达川区石板街道金刚煤矿矿区居民委员会金刚街２号</v>
          </cell>
          <cell r="M247" t="str">
            <v>四川省达州市达川区石板街道金刚煤矿矿区居民委员会金刚街２号</v>
          </cell>
        </row>
        <row r="247">
          <cell r="R247" t="str">
            <v>51302119630308087243</v>
          </cell>
          <cell r="S247" t="str">
            <v>肢体</v>
          </cell>
          <cell r="T247" t="str">
            <v>三级</v>
          </cell>
          <cell r="U247" t="str">
            <v>肢体三级;</v>
          </cell>
        </row>
        <row r="248">
          <cell r="B248" t="str">
            <v>513021194304036989</v>
          </cell>
          <cell r="C248" t="str">
            <v>女</v>
          </cell>
          <cell r="D248" t="str">
            <v>汉族</v>
          </cell>
          <cell r="E248" t="str">
            <v>文盲</v>
          </cell>
          <cell r="F248" t="str">
            <v>已婚</v>
          </cell>
          <cell r="G248" t="str">
            <v>非农业</v>
          </cell>
        </row>
        <row r="248">
          <cell r="I248" t="str">
            <v>15181815145</v>
          </cell>
          <cell r="J248" t="str">
            <v>石板街道</v>
          </cell>
          <cell r="K248" t="str">
            <v>金刚煤矿矿区居民委员会</v>
          </cell>
          <cell r="L248" t="str">
            <v>四川省达州市达川区石板街道金刚煤矿矿区居民委员会金刚街1号32栋2单元１号</v>
          </cell>
          <cell r="M248" t="str">
            <v>四川省达州市达川区石板街道金刚煤矿矿区居民委员会金刚街1号32栋2单元１号</v>
          </cell>
        </row>
        <row r="248">
          <cell r="R248" t="str">
            <v>51302119430403698944</v>
          </cell>
          <cell r="S248" t="str">
            <v>肢体</v>
          </cell>
          <cell r="T248" t="str">
            <v>四级</v>
          </cell>
          <cell r="U248" t="str">
            <v>肢体四级;</v>
          </cell>
        </row>
        <row r="249">
          <cell r="B249" t="str">
            <v>51302119470819019X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非农业</v>
          </cell>
        </row>
        <row r="249">
          <cell r="I249" t="str">
            <v>15883706679</v>
          </cell>
          <cell r="J249" t="str">
            <v>石板街道</v>
          </cell>
          <cell r="K249" t="str">
            <v>金刚煤矿矿区居民委员会</v>
          </cell>
          <cell r="L249" t="str">
            <v>四川省达州市达川区石板街道金刚煤矿矿区居民委员会金刚街１号２１号３楼３号</v>
          </cell>
          <cell r="M249" t="str">
            <v>四川省达州市达川区石板街道金刚煤矿矿区居民委员会金刚街１号２１号３楼３号</v>
          </cell>
        </row>
        <row r="249">
          <cell r="R249" t="str">
            <v>51302119470819019X11</v>
          </cell>
          <cell r="S249" t="str">
            <v>视力</v>
          </cell>
          <cell r="T249" t="str">
            <v>一级</v>
          </cell>
          <cell r="U249" t="str">
            <v>视力一级;</v>
          </cell>
        </row>
        <row r="250">
          <cell r="B250" t="str">
            <v>513021197304210194</v>
          </cell>
          <cell r="C250" t="str">
            <v>男</v>
          </cell>
          <cell r="D250" t="str">
            <v>汉族</v>
          </cell>
          <cell r="E250" t="str">
            <v>中专</v>
          </cell>
          <cell r="F250" t="str">
            <v>已婚</v>
          </cell>
          <cell r="G250" t="str">
            <v>非农业</v>
          </cell>
        </row>
        <row r="250">
          <cell r="I250" t="str">
            <v>13568351596</v>
          </cell>
          <cell r="J250" t="str">
            <v>石板街道</v>
          </cell>
          <cell r="K250" t="str">
            <v>金刚煤矿矿区居民委员会</v>
          </cell>
          <cell r="L250" t="str">
            <v>四川省达州市达川区石板街道金刚煤矿矿区居民委员会金刚街１号２７栋３单元７号</v>
          </cell>
          <cell r="M250" t="str">
            <v>四川省达州市达川区石板街道金刚煤矿矿区居民委员会金刚街１号２７栋３单元７号</v>
          </cell>
        </row>
        <row r="250">
          <cell r="R250" t="str">
            <v>51302119730421019443</v>
          </cell>
          <cell r="S250" t="str">
            <v>肢体</v>
          </cell>
          <cell r="T250" t="str">
            <v>三级</v>
          </cell>
          <cell r="U250" t="str">
            <v>肢体三级;</v>
          </cell>
        </row>
        <row r="251">
          <cell r="B251" t="str">
            <v>513027197208282217</v>
          </cell>
          <cell r="C251" t="str">
            <v>男</v>
          </cell>
          <cell r="D251" t="str">
            <v>汉族</v>
          </cell>
          <cell r="E251" t="str">
            <v>高中</v>
          </cell>
          <cell r="F251" t="str">
            <v>未婚</v>
          </cell>
          <cell r="G251" t="str">
            <v>非农业</v>
          </cell>
        </row>
        <row r="251">
          <cell r="I251" t="str">
            <v>13883833286</v>
          </cell>
          <cell r="J251" t="str">
            <v>石板街道</v>
          </cell>
          <cell r="K251" t="str">
            <v>金刚煤矿矿区居民委员会</v>
          </cell>
          <cell r="L251" t="str">
            <v>四川省达州市达川区石板街道金刚煤矿矿区居民委员会金刚街１号１４栋１单元１０号</v>
          </cell>
          <cell r="M251" t="str">
            <v>四川省达州市达川区石板街道金刚煤矿矿区居民委员会金刚街１号１４栋１单元１０号</v>
          </cell>
          <cell r="N251" t="str">
            <v>杜峰</v>
          </cell>
          <cell r="O251" t="str">
            <v>兄/弟/姐/妹</v>
          </cell>
        </row>
        <row r="251">
          <cell r="Q251" t="str">
            <v>13458460960</v>
          </cell>
          <cell r="R251" t="str">
            <v>51302719720828221762</v>
          </cell>
          <cell r="S251" t="str">
            <v>精神</v>
          </cell>
          <cell r="T251" t="str">
            <v>二级</v>
          </cell>
          <cell r="U251" t="str">
            <v>精神二级;</v>
          </cell>
        </row>
        <row r="252">
          <cell r="B252" t="str">
            <v>51300119620612062X</v>
          </cell>
          <cell r="C252" t="str">
            <v>女</v>
          </cell>
          <cell r="D252" t="str">
            <v>汉族</v>
          </cell>
          <cell r="E252" t="str">
            <v>初中</v>
          </cell>
          <cell r="F252" t="str">
            <v>已婚</v>
          </cell>
          <cell r="G252" t="str">
            <v>非农业</v>
          </cell>
        </row>
        <row r="252">
          <cell r="I252" t="str">
            <v>15983893577</v>
          </cell>
          <cell r="J252" t="str">
            <v>石板街道</v>
          </cell>
          <cell r="K252" t="str">
            <v>金刚煤矿矿区居民委员会</v>
          </cell>
          <cell r="L252" t="str">
            <v>四川省达州市达川区石板街道金刚煤矿矿区居民委员会金刚街２号</v>
          </cell>
          <cell r="M252" t="str">
            <v>四川省达州市达川区石板街道金刚煤矿矿区居民委员会金刚街２号</v>
          </cell>
          <cell r="N252" t="str">
            <v>伍家太</v>
          </cell>
          <cell r="O252" t="str">
            <v>配偶</v>
          </cell>
        </row>
        <row r="252">
          <cell r="Q252" t="str">
            <v>13558524950</v>
          </cell>
          <cell r="R252" t="str">
            <v>51300119620612062X44</v>
          </cell>
          <cell r="S252" t="str">
            <v>肢体</v>
          </cell>
          <cell r="T252" t="str">
            <v>四级</v>
          </cell>
          <cell r="U252" t="str">
            <v>肢体四级;</v>
          </cell>
        </row>
        <row r="253">
          <cell r="B253" t="str">
            <v>513021193604240194</v>
          </cell>
          <cell r="C253" t="str">
            <v>男</v>
          </cell>
          <cell r="D253" t="str">
            <v>汉族</v>
          </cell>
          <cell r="E253" t="str">
            <v>初中</v>
          </cell>
          <cell r="F253" t="str">
            <v>已婚</v>
          </cell>
          <cell r="G253" t="str">
            <v>非农业</v>
          </cell>
        </row>
        <row r="253">
          <cell r="I253" t="str">
            <v>15583341859</v>
          </cell>
          <cell r="J253" t="str">
            <v>石板街道</v>
          </cell>
          <cell r="K253" t="str">
            <v>金刚煤矿矿区居民委员会</v>
          </cell>
          <cell r="L253" t="str">
            <v>四川省达州市达川区石板街道金刚煤矿矿区居民委员会金刚街1号28栋1单元5号</v>
          </cell>
          <cell r="M253" t="str">
            <v>四川省达州市达川区石板街道金刚煤矿矿区居民委员会金刚街1号28栋1单元5号</v>
          </cell>
        </row>
        <row r="253">
          <cell r="O253" t="str">
            <v>其他</v>
          </cell>
        </row>
        <row r="253">
          <cell r="R253" t="str">
            <v>51302119360424019444</v>
          </cell>
          <cell r="S253" t="str">
            <v>肢体</v>
          </cell>
          <cell r="T253" t="str">
            <v>四级</v>
          </cell>
          <cell r="U253" t="str">
            <v>肢体四级;</v>
          </cell>
        </row>
        <row r="254">
          <cell r="B254" t="str">
            <v>513021194901200193</v>
          </cell>
          <cell r="C254" t="str">
            <v>男</v>
          </cell>
          <cell r="D254" t="str">
            <v>汉族</v>
          </cell>
          <cell r="E254" t="str">
            <v>小学</v>
          </cell>
          <cell r="F254" t="str">
            <v>已婚</v>
          </cell>
          <cell r="G254" t="str">
            <v>非农业</v>
          </cell>
        </row>
        <row r="254">
          <cell r="I254" t="str">
            <v>18682821980</v>
          </cell>
          <cell r="J254" t="str">
            <v>石板街道</v>
          </cell>
          <cell r="K254" t="str">
            <v>金刚煤矿矿区居民委员会</v>
          </cell>
          <cell r="L254" t="str">
            <v>四川省达州市达川区石板街道金刚煤矿矿区居民委员会金刚街１号３５栋２单元１号</v>
          </cell>
          <cell r="M254" t="str">
            <v>四川省达州市达川区石板街道金刚煤矿矿区居民委员会金刚街１号３５栋２单元１号</v>
          </cell>
          <cell r="N254" t="str">
            <v>刘丕菊</v>
          </cell>
          <cell r="O254" t="str">
            <v>配偶</v>
          </cell>
        </row>
        <row r="254">
          <cell r="Q254" t="str">
            <v>18682821980</v>
          </cell>
          <cell r="R254" t="str">
            <v>51302119490120019344</v>
          </cell>
          <cell r="S254" t="str">
            <v>肢体</v>
          </cell>
          <cell r="T254" t="str">
            <v>四级</v>
          </cell>
          <cell r="U254" t="str">
            <v>肢体四级;</v>
          </cell>
        </row>
        <row r="255">
          <cell r="B255" t="str">
            <v>513021196410110213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非农业</v>
          </cell>
        </row>
        <row r="255">
          <cell r="I255" t="str">
            <v>18781815963</v>
          </cell>
          <cell r="J255" t="str">
            <v>石板街道</v>
          </cell>
          <cell r="K255" t="str">
            <v>金刚煤矿矿区居民委员会</v>
          </cell>
          <cell r="L255" t="str">
            <v>四川省达州市达川区石板街道金刚煤矿矿区居民委员会金刚街１号１４栋３单元１０号</v>
          </cell>
          <cell r="M255" t="str">
            <v>四川省达州市达川区石板街道金刚煤矿矿区居民委员会金刚街１号１４栋３单元１０号</v>
          </cell>
          <cell r="N255" t="str">
            <v>秦春梅</v>
          </cell>
          <cell r="O255" t="str">
            <v>配偶</v>
          </cell>
        </row>
        <row r="255">
          <cell r="Q255" t="str">
            <v>13551414763</v>
          </cell>
          <cell r="R255" t="str">
            <v>51302119641011021344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513021196506270190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非农业</v>
          </cell>
        </row>
        <row r="256">
          <cell r="I256" t="str">
            <v>15882954993</v>
          </cell>
          <cell r="J256" t="str">
            <v>石板街道</v>
          </cell>
          <cell r="K256" t="str">
            <v>金刚煤矿矿区居民委员会</v>
          </cell>
          <cell r="L256" t="str">
            <v>四川省达州市达川区石板街道金刚煤矿矿区居民委员会金刚街２号</v>
          </cell>
          <cell r="M256" t="str">
            <v>四川省达州市达川区石板街道金刚煤矿矿区居民委员会金刚街２号</v>
          </cell>
        </row>
        <row r="256">
          <cell r="R256" t="str">
            <v>51302119650627019044</v>
          </cell>
          <cell r="S256" t="str">
            <v>肢体</v>
          </cell>
          <cell r="T256" t="str">
            <v>四级</v>
          </cell>
          <cell r="U256" t="str">
            <v>肢体四级;</v>
          </cell>
        </row>
        <row r="257">
          <cell r="B257" t="str">
            <v>511923197205063694</v>
          </cell>
          <cell r="C257" t="str">
            <v>男</v>
          </cell>
          <cell r="D257" t="str">
            <v>汉族</v>
          </cell>
          <cell r="E257" t="str">
            <v>初中</v>
          </cell>
          <cell r="F257" t="str">
            <v>已婚</v>
          </cell>
          <cell r="G257" t="str">
            <v>非农业</v>
          </cell>
        </row>
        <row r="257">
          <cell r="I257" t="str">
            <v>13508261120</v>
          </cell>
          <cell r="J257" t="str">
            <v>石板街道</v>
          </cell>
          <cell r="K257" t="str">
            <v>金刚煤矿矿区居民委员会</v>
          </cell>
          <cell r="L257" t="str">
            <v>四川省达州市达川区石板街道金刚煤矿矿区居民委员会金刚街2号</v>
          </cell>
          <cell r="M257" t="str">
            <v>四川省达州市达川区石板街道金刚煤矿矿区居民委员会金刚街2号</v>
          </cell>
        </row>
        <row r="257">
          <cell r="R257" t="str">
            <v>51192319720506369444</v>
          </cell>
          <cell r="S257" t="str">
            <v>肢体</v>
          </cell>
          <cell r="T257" t="str">
            <v>四级</v>
          </cell>
          <cell r="U257" t="str">
            <v>肢体四级;</v>
          </cell>
        </row>
        <row r="258">
          <cell r="B258" t="str">
            <v>513021194502030190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非农业</v>
          </cell>
        </row>
        <row r="258">
          <cell r="I258" t="str">
            <v>13568163277</v>
          </cell>
          <cell r="J258" t="str">
            <v>石板街道</v>
          </cell>
          <cell r="K258" t="str">
            <v>金刚煤矿矿区居民委员会</v>
          </cell>
          <cell r="L258" t="str">
            <v>四川省达州市达川区石板街道金刚煤矿矿区居民委员会金刚街2号</v>
          </cell>
          <cell r="M258" t="str">
            <v>四川省达州市达川区石板街道金刚煤矿矿区居民委员会金刚街2号</v>
          </cell>
        </row>
        <row r="258">
          <cell r="R258" t="str">
            <v>51302119450203019044</v>
          </cell>
          <cell r="S258" t="str">
            <v>肢体</v>
          </cell>
          <cell r="T258" t="str">
            <v>四级</v>
          </cell>
          <cell r="U258" t="str">
            <v>肢体四级;</v>
          </cell>
        </row>
        <row r="259">
          <cell r="B259" t="str">
            <v>513021193611120190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非农业</v>
          </cell>
        </row>
        <row r="259">
          <cell r="I259" t="str">
            <v>13508269489</v>
          </cell>
          <cell r="J259" t="str">
            <v>石板街道</v>
          </cell>
          <cell r="K259" t="str">
            <v>金刚煤矿矿区居民委员会</v>
          </cell>
          <cell r="L259" t="str">
            <v>四川省达州市达川区石板街道金刚煤矿矿区居民委员会金刚街１号３２栋１０号</v>
          </cell>
          <cell r="M259" t="str">
            <v>四川省达州市达川区石板街道金刚煤矿矿区居民委员会金刚街１号３２栋１０号</v>
          </cell>
          <cell r="N259" t="str">
            <v>向可于</v>
          </cell>
          <cell r="O259" t="str">
            <v>配偶</v>
          </cell>
        </row>
        <row r="259">
          <cell r="Q259" t="str">
            <v>13508269489</v>
          </cell>
          <cell r="R259" t="str">
            <v>51302119361112019044</v>
          </cell>
          <cell r="S259" t="str">
            <v>肢体</v>
          </cell>
          <cell r="T259" t="str">
            <v>四级</v>
          </cell>
          <cell r="U259" t="str">
            <v>肢体四级;</v>
          </cell>
        </row>
        <row r="260">
          <cell r="B260" t="str">
            <v>513021194907041584</v>
          </cell>
          <cell r="C260" t="str">
            <v>女</v>
          </cell>
          <cell r="D260" t="str">
            <v>汉族</v>
          </cell>
          <cell r="E260" t="str">
            <v>文盲</v>
          </cell>
          <cell r="F260" t="str">
            <v>已婚</v>
          </cell>
          <cell r="G260" t="str">
            <v>非农业</v>
          </cell>
        </row>
        <row r="260">
          <cell r="I260" t="str">
            <v>13508269489</v>
          </cell>
          <cell r="J260" t="str">
            <v>石板街道</v>
          </cell>
          <cell r="K260" t="str">
            <v>金刚煤矿矿区居民委员会</v>
          </cell>
          <cell r="L260" t="str">
            <v>四川省达州市达川区石板街道金刚煤矿矿区居民委员会金刚街１号３２栋１０号</v>
          </cell>
          <cell r="M260" t="str">
            <v>四川省达州市达川区石板街道金刚煤矿矿区居民委员会金刚街１号３２栋１０号</v>
          </cell>
        </row>
        <row r="260">
          <cell r="O260" t="str">
            <v>其他</v>
          </cell>
        </row>
        <row r="260">
          <cell r="R260" t="str">
            <v>51302119490704158444</v>
          </cell>
          <cell r="S260" t="str">
            <v>肢体</v>
          </cell>
          <cell r="T260" t="str">
            <v>四级</v>
          </cell>
          <cell r="U260" t="str">
            <v>肢体四级;</v>
          </cell>
        </row>
        <row r="261">
          <cell r="B261" t="str">
            <v>512929196711133610</v>
          </cell>
          <cell r="C261" t="str">
            <v>男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非农业</v>
          </cell>
        </row>
        <row r="261">
          <cell r="I261" t="str">
            <v>15882961120</v>
          </cell>
          <cell r="J261" t="str">
            <v>石板街道</v>
          </cell>
          <cell r="K261" t="str">
            <v>金刚煤矿矿区居民委员会</v>
          </cell>
          <cell r="L261" t="str">
            <v>四川省达州市达川区石板街道金刚煤矿矿区居民委员会金刚街１号９栋６单元６号</v>
          </cell>
          <cell r="M261" t="str">
            <v>四川省达州市达川区石板街道金刚煤矿矿区居民委员会金刚街１号９栋６单元６号</v>
          </cell>
        </row>
        <row r="261">
          <cell r="O261" t="str">
            <v>其他</v>
          </cell>
        </row>
        <row r="261">
          <cell r="R261" t="str">
            <v>51292919671113361044</v>
          </cell>
          <cell r="S261" t="str">
            <v>肢体</v>
          </cell>
          <cell r="T261" t="str">
            <v>四级</v>
          </cell>
          <cell r="U261" t="str">
            <v>肢体四级;</v>
          </cell>
        </row>
        <row r="262">
          <cell r="B262" t="str">
            <v>513021196603140195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非农业</v>
          </cell>
        </row>
        <row r="262">
          <cell r="I262" t="str">
            <v>15181871548</v>
          </cell>
          <cell r="J262" t="str">
            <v>石板街道</v>
          </cell>
          <cell r="K262" t="str">
            <v>金刚煤矿矿区居民委员会</v>
          </cell>
          <cell r="L262" t="str">
            <v>四川省达州市达川区石板街道金刚煤矿矿区居民委员会金刚街1号３栋２单元９号</v>
          </cell>
          <cell r="M262" t="str">
            <v>四川省达州市达川区石板街道金刚煤矿矿区居民委员会金刚街1号３栋２单元９号</v>
          </cell>
          <cell r="N262" t="str">
            <v>邹玉梅</v>
          </cell>
          <cell r="O262" t="str">
            <v>配偶</v>
          </cell>
        </row>
        <row r="262">
          <cell r="Q262" t="str">
            <v>15182850148</v>
          </cell>
          <cell r="R262" t="str">
            <v>51302119660314019544</v>
          </cell>
          <cell r="S262" t="str">
            <v>肢体</v>
          </cell>
          <cell r="T262" t="str">
            <v>四级</v>
          </cell>
          <cell r="U262" t="str">
            <v>肢体四级;</v>
          </cell>
        </row>
        <row r="263">
          <cell r="B263" t="str">
            <v>513021194705250206</v>
          </cell>
          <cell r="C263" t="str">
            <v>女</v>
          </cell>
          <cell r="D263" t="str">
            <v>汉族</v>
          </cell>
          <cell r="E263" t="str">
            <v>小学</v>
          </cell>
          <cell r="F263" t="str">
            <v>已婚</v>
          </cell>
          <cell r="G263" t="str">
            <v>非农业</v>
          </cell>
        </row>
        <row r="263">
          <cell r="I263" t="str">
            <v>13219198084</v>
          </cell>
          <cell r="J263" t="str">
            <v>石板街道</v>
          </cell>
          <cell r="K263" t="str">
            <v>金刚煤矿矿区居民委员会</v>
          </cell>
          <cell r="L263" t="str">
            <v>四川省达州市达川区石板街道金刚煤矿矿区居民委员会金刚街１号５幢５单元８号</v>
          </cell>
          <cell r="M263" t="str">
            <v>四川省达州市达川区石板街道金刚煤矿矿区居民委员会金刚街１号５幢５单元８号</v>
          </cell>
          <cell r="N263" t="str">
            <v>卢朝平</v>
          </cell>
          <cell r="O263" t="str">
            <v>配偶</v>
          </cell>
        </row>
        <row r="263">
          <cell r="Q263" t="str">
            <v>13219198084</v>
          </cell>
          <cell r="R263" t="str">
            <v>51302119470525020661</v>
          </cell>
          <cell r="S263" t="str">
            <v>精神</v>
          </cell>
          <cell r="T263" t="str">
            <v>一级</v>
          </cell>
          <cell r="U263" t="str">
            <v>精神一级;</v>
          </cell>
        </row>
        <row r="264">
          <cell r="B264" t="str">
            <v>513022194811296060</v>
          </cell>
          <cell r="C264" t="str">
            <v>女</v>
          </cell>
          <cell r="D264" t="str">
            <v>汉族</v>
          </cell>
          <cell r="E264" t="str">
            <v>初中</v>
          </cell>
          <cell r="F264" t="str">
            <v>已婚</v>
          </cell>
          <cell r="G264" t="str">
            <v>非农业</v>
          </cell>
        </row>
        <row r="264">
          <cell r="I264" t="str">
            <v>18228644051</v>
          </cell>
          <cell r="J264" t="str">
            <v>石板街道</v>
          </cell>
          <cell r="K264" t="str">
            <v>金刚煤矿矿区居民委员会</v>
          </cell>
          <cell r="L264" t="str">
            <v>四川省达州市达川区石板街道金刚煤矿矿区居民委员会金刚街２号</v>
          </cell>
          <cell r="M264" t="str">
            <v>四川省达州市达川区石板街道金刚煤矿矿区居民委员会金刚街２号</v>
          </cell>
          <cell r="N264" t="str">
            <v>王显华</v>
          </cell>
          <cell r="O264" t="str">
            <v>配偶</v>
          </cell>
        </row>
        <row r="264">
          <cell r="Q264" t="str">
            <v>18228644051</v>
          </cell>
          <cell r="R264" t="str">
            <v>51302219481129606042</v>
          </cell>
          <cell r="S264" t="str">
            <v>肢体</v>
          </cell>
          <cell r="T264" t="str">
            <v>二级</v>
          </cell>
          <cell r="U264" t="str">
            <v>肢体二级;</v>
          </cell>
        </row>
        <row r="265">
          <cell r="B265" t="str">
            <v>513021194604280190</v>
          </cell>
          <cell r="C265" t="str">
            <v>男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非农业</v>
          </cell>
        </row>
        <row r="265">
          <cell r="I265" t="str">
            <v>13778351665</v>
          </cell>
          <cell r="J265" t="str">
            <v>石板街道</v>
          </cell>
          <cell r="K265" t="str">
            <v>金刚煤矿矿区居民委员会</v>
          </cell>
          <cell r="L265" t="str">
            <v>四川省达州市达川区石板街道金刚煤矿矿区居民委员会金刚街２号</v>
          </cell>
          <cell r="M265" t="str">
            <v>四川省达州市达川区石板街道金刚煤矿矿区居民委员会金刚街２号</v>
          </cell>
        </row>
        <row r="265">
          <cell r="R265" t="str">
            <v>51302119460428019044</v>
          </cell>
          <cell r="S265" t="str">
            <v>肢体</v>
          </cell>
          <cell r="T265" t="str">
            <v>四级</v>
          </cell>
          <cell r="U265" t="str">
            <v>肢体四级;</v>
          </cell>
        </row>
        <row r="266">
          <cell r="B266" t="str">
            <v>513021196905200202</v>
          </cell>
          <cell r="C266" t="str">
            <v>女</v>
          </cell>
          <cell r="D266" t="str">
            <v>汉族</v>
          </cell>
          <cell r="E266" t="str">
            <v>初中</v>
          </cell>
          <cell r="F266" t="str">
            <v>已婚</v>
          </cell>
          <cell r="G266" t="str">
            <v>农业</v>
          </cell>
        </row>
        <row r="266">
          <cell r="I266" t="str">
            <v>14781812819</v>
          </cell>
          <cell r="J266" t="str">
            <v>石板街道</v>
          </cell>
          <cell r="K266" t="str">
            <v>金刚煤矿矿区居民委员会</v>
          </cell>
          <cell r="L266" t="str">
            <v>四川省达州市达川区石板街道金刚煤矿矿区居民委员会金刚街２号</v>
          </cell>
          <cell r="M266" t="str">
            <v>四川省达州市达川区石板街道金刚煤矿矿区居民委员会金刚街２号</v>
          </cell>
          <cell r="N266" t="str">
            <v>张良华</v>
          </cell>
          <cell r="O266" t="str">
            <v>配偶</v>
          </cell>
        </row>
        <row r="266">
          <cell r="Q266" t="str">
            <v>14781812819</v>
          </cell>
          <cell r="R266" t="str">
            <v>51302119690520020262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513021193402090204</v>
          </cell>
          <cell r="C267" t="str">
            <v>女</v>
          </cell>
          <cell r="D267" t="str">
            <v>汉族</v>
          </cell>
          <cell r="E267" t="str">
            <v>中专</v>
          </cell>
          <cell r="F267" t="str">
            <v>已婚</v>
          </cell>
          <cell r="G267" t="str">
            <v>非农业</v>
          </cell>
        </row>
        <row r="267">
          <cell r="I267" t="str">
            <v>15983853488</v>
          </cell>
          <cell r="J267" t="str">
            <v>石板街道</v>
          </cell>
          <cell r="K267" t="str">
            <v>金刚煤矿矿区居民委员会</v>
          </cell>
          <cell r="L267" t="str">
            <v>四川省达州市达川区石板街道金刚煤矿矿区居民委员会金刚街１号５栋７单元３号</v>
          </cell>
          <cell r="M267" t="str">
            <v>四川省达州市达川区石板街道金刚煤矿矿区居民委员会金刚街１号５栋７单元３号</v>
          </cell>
        </row>
        <row r="267">
          <cell r="R267" t="str">
            <v>51302119340209020444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513021197011166468</v>
          </cell>
          <cell r="C268" t="str">
            <v>女</v>
          </cell>
          <cell r="D268" t="str">
            <v>汉族</v>
          </cell>
          <cell r="E268" t="str">
            <v>初中</v>
          </cell>
          <cell r="F268" t="str">
            <v>已婚</v>
          </cell>
          <cell r="G268" t="str">
            <v>非农业</v>
          </cell>
        </row>
        <row r="268">
          <cell r="I268" t="str">
            <v>18784833659</v>
          </cell>
          <cell r="J268" t="str">
            <v>石板街道</v>
          </cell>
          <cell r="K268" t="str">
            <v>金刚煤矿矿区居民委员会</v>
          </cell>
          <cell r="L268" t="str">
            <v>四川省达州市达川区石板街道金刚煤矿矿区居民委员会金刚街１号３２栋１单元４号</v>
          </cell>
          <cell r="M268" t="str">
            <v>四川省达州市达川区石板街道金刚煤矿矿区居民委员会金刚街１号３２栋１单元４号</v>
          </cell>
        </row>
        <row r="268">
          <cell r="R268" t="str">
            <v>51302119701116646843</v>
          </cell>
          <cell r="S268" t="str">
            <v>肢体</v>
          </cell>
          <cell r="T268" t="str">
            <v>三级</v>
          </cell>
          <cell r="U268" t="str">
            <v>肢体三级;</v>
          </cell>
        </row>
        <row r="269">
          <cell r="B269" t="str">
            <v>513021194408230196</v>
          </cell>
          <cell r="C269" t="str">
            <v>男</v>
          </cell>
          <cell r="D269" t="str">
            <v>汉族</v>
          </cell>
          <cell r="E269" t="str">
            <v>初中</v>
          </cell>
          <cell r="F269" t="str">
            <v>已婚</v>
          </cell>
          <cell r="G269" t="str">
            <v>非农业</v>
          </cell>
        </row>
        <row r="269">
          <cell r="I269" t="str">
            <v>15882963461</v>
          </cell>
          <cell r="J269" t="str">
            <v>石板街道</v>
          </cell>
          <cell r="K269" t="str">
            <v>金刚煤矿矿区居民委员会</v>
          </cell>
          <cell r="L269" t="str">
            <v>四川省达州市达川区石板街道金刚煤矿矿区居民委员会金刚街１号３３栋１单元１号</v>
          </cell>
          <cell r="M269" t="str">
            <v>四川省达州市达川区石板街道金刚煤矿矿区居民委员会金刚街１号３３栋１单元１号</v>
          </cell>
        </row>
        <row r="269">
          <cell r="R269" t="str">
            <v>51302119440823019644B1</v>
          </cell>
          <cell r="S269" t="str">
            <v>肢体</v>
          </cell>
          <cell r="T269" t="str">
            <v>四级</v>
          </cell>
          <cell r="U269" t="str">
            <v>肢体四级;</v>
          </cell>
        </row>
        <row r="270">
          <cell r="B270" t="str">
            <v>510226195108153429</v>
          </cell>
          <cell r="C270" t="str">
            <v>女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非农业</v>
          </cell>
        </row>
        <row r="270">
          <cell r="I270" t="str">
            <v>18576738934</v>
          </cell>
          <cell r="J270" t="str">
            <v>石板街道</v>
          </cell>
          <cell r="K270" t="str">
            <v>金刚煤矿矿区居民委员会</v>
          </cell>
          <cell r="L270" t="str">
            <v>四川省达州市达川区石板街道金刚煤矿矿区居民委员会金刚街１号２４栋２楼７号</v>
          </cell>
          <cell r="M270" t="str">
            <v>四川省达州市达川区石板街道金刚煤矿矿区居民委员会金刚街１号２４栋２楼７号</v>
          </cell>
        </row>
        <row r="270">
          <cell r="R270" t="str">
            <v>51022619510815342944</v>
          </cell>
          <cell r="S270" t="str">
            <v>肢体</v>
          </cell>
          <cell r="T270" t="str">
            <v>四级</v>
          </cell>
          <cell r="U270" t="str">
            <v>肢体四级;</v>
          </cell>
        </row>
        <row r="271">
          <cell r="B271" t="str">
            <v>513028194612130429</v>
          </cell>
          <cell r="C271" t="str">
            <v>女</v>
          </cell>
          <cell r="D271" t="str">
            <v>汉族</v>
          </cell>
          <cell r="E271" t="str">
            <v>小学</v>
          </cell>
          <cell r="F271" t="str">
            <v>已婚</v>
          </cell>
          <cell r="G271" t="str">
            <v>非农业</v>
          </cell>
        </row>
        <row r="271">
          <cell r="I271" t="str">
            <v>14781834914</v>
          </cell>
          <cell r="J271" t="str">
            <v>石板街道</v>
          </cell>
          <cell r="K271" t="str">
            <v>金刚煤矿矿区居民委员会</v>
          </cell>
          <cell r="L271" t="str">
            <v>四川省达州市达川区石板街道金刚煤矿矿区居民委员会金刚街１号１４栋３单元１０号</v>
          </cell>
          <cell r="M271" t="str">
            <v>四川省达州市达川区石板街道金刚煤矿矿区居民委员会金刚街１号１４栋３单元１０号</v>
          </cell>
        </row>
        <row r="271">
          <cell r="R271" t="str">
            <v>51302819461213042943</v>
          </cell>
          <cell r="S271" t="str">
            <v>肢体</v>
          </cell>
          <cell r="T271" t="str">
            <v>三级</v>
          </cell>
          <cell r="U271" t="str">
            <v>肢体三级;</v>
          </cell>
        </row>
        <row r="272">
          <cell r="B272" t="str">
            <v>513021196302130196</v>
          </cell>
          <cell r="C272" t="str">
            <v>男</v>
          </cell>
          <cell r="D272" t="str">
            <v>汉族</v>
          </cell>
          <cell r="E272" t="str">
            <v>高中</v>
          </cell>
          <cell r="F272" t="str">
            <v>已婚</v>
          </cell>
          <cell r="G272" t="str">
            <v>非农业</v>
          </cell>
        </row>
        <row r="272">
          <cell r="I272" t="str">
            <v>13795685411</v>
          </cell>
          <cell r="J272" t="str">
            <v>石板街道</v>
          </cell>
          <cell r="K272" t="str">
            <v>金刚煤矿矿区居民委员会</v>
          </cell>
          <cell r="L272" t="str">
            <v>四川省达州市达川区石板街道金刚煤矿矿区居民委员会金刚街１号３单元３号</v>
          </cell>
          <cell r="M272" t="str">
            <v>四川省达州市达川区石板街道金刚煤矿矿区居民委员会金刚街１号３单元３号</v>
          </cell>
          <cell r="N272" t="str">
            <v>夏生智</v>
          </cell>
          <cell r="O272" t="str">
            <v>配偶</v>
          </cell>
        </row>
        <row r="272">
          <cell r="Q272" t="str">
            <v>13795685411</v>
          </cell>
          <cell r="R272" t="str">
            <v>51302119630213019644</v>
          </cell>
          <cell r="S272" t="str">
            <v>肢体</v>
          </cell>
          <cell r="T272" t="str">
            <v>四级</v>
          </cell>
          <cell r="U272" t="str">
            <v>肢体四级;</v>
          </cell>
        </row>
        <row r="273">
          <cell r="B273" t="str">
            <v>513021196502140196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非农业</v>
          </cell>
        </row>
        <row r="273">
          <cell r="I273" t="str">
            <v>18781838803</v>
          </cell>
          <cell r="J273" t="str">
            <v>石板街道</v>
          </cell>
          <cell r="K273" t="str">
            <v>金刚煤矿矿区居民委员会</v>
          </cell>
          <cell r="L273" t="str">
            <v>四川省达州市达川区石板街道金刚煤矿矿区居民委员会金刚街2号</v>
          </cell>
          <cell r="M273" t="str">
            <v>四川省达州市达川区石板街道金刚煤矿矿区居民委员会金刚街2号</v>
          </cell>
          <cell r="N273" t="str">
            <v>唐方菊</v>
          </cell>
          <cell r="O273" t="str">
            <v>配偶</v>
          </cell>
        </row>
        <row r="273">
          <cell r="Q273" t="str">
            <v>18781838805</v>
          </cell>
          <cell r="R273" t="str">
            <v>51302119650214019644</v>
          </cell>
          <cell r="S273" t="str">
            <v>肢体</v>
          </cell>
          <cell r="T273" t="str">
            <v>四级</v>
          </cell>
          <cell r="U273" t="str">
            <v>肢体四级;</v>
          </cell>
        </row>
        <row r="274">
          <cell r="B274" t="str">
            <v>513021199006090445</v>
          </cell>
          <cell r="C274" t="str">
            <v>女</v>
          </cell>
          <cell r="D274" t="str">
            <v>汉族</v>
          </cell>
          <cell r="E274" t="str">
            <v>初中</v>
          </cell>
          <cell r="F274" t="str">
            <v>未婚</v>
          </cell>
          <cell r="G274" t="str">
            <v>非农业</v>
          </cell>
        </row>
        <row r="274">
          <cell r="I274" t="str">
            <v>18481890537</v>
          </cell>
          <cell r="J274" t="str">
            <v>石板街道</v>
          </cell>
          <cell r="K274" t="str">
            <v>金刚煤矿矿区居民委员会</v>
          </cell>
          <cell r="L274" t="str">
            <v>四川省达州市达川区石板街道金刚煤矿矿区居民委员会金刚街２号</v>
          </cell>
          <cell r="M274" t="str">
            <v>四川省达州市达川区石板街道金刚煤矿矿区居民委员会金刚街２号</v>
          </cell>
        </row>
        <row r="274">
          <cell r="R274" t="str">
            <v>51302119900609044544</v>
          </cell>
          <cell r="S274" t="str">
            <v>肢体</v>
          </cell>
          <cell r="T274" t="str">
            <v>四级</v>
          </cell>
          <cell r="U274" t="str">
            <v>肢体四级;</v>
          </cell>
        </row>
        <row r="275">
          <cell r="B275" t="str">
            <v>51172120020410554X</v>
          </cell>
          <cell r="C275" t="str">
            <v>女</v>
          </cell>
          <cell r="D275" t="str">
            <v>汉族</v>
          </cell>
          <cell r="E275" t="str">
            <v>小学</v>
          </cell>
          <cell r="F275" t="str">
            <v>未婚</v>
          </cell>
          <cell r="G275" t="str">
            <v>非农业</v>
          </cell>
        </row>
        <row r="275">
          <cell r="I275" t="str">
            <v>18228635248</v>
          </cell>
          <cell r="J275" t="str">
            <v>石板街道</v>
          </cell>
          <cell r="K275" t="str">
            <v>金刚煤矿矿区居民委员会</v>
          </cell>
          <cell r="L275" t="str">
            <v>四川省达州市达川区石板街道金刚煤矿矿区居民委员会金刚街１号４栋１单元１０号</v>
          </cell>
          <cell r="M275" t="str">
            <v>四川省达州市达川区石板街道金刚煤矿矿区居民委员会金刚街１号４栋１单元１０号</v>
          </cell>
          <cell r="N275" t="str">
            <v>袁珍秀</v>
          </cell>
          <cell r="O275" t="str">
            <v>(外)祖父母</v>
          </cell>
        </row>
        <row r="275">
          <cell r="Q275" t="str">
            <v>15082894066</v>
          </cell>
          <cell r="R275" t="str">
            <v>51172120020410554X43</v>
          </cell>
          <cell r="S275" t="str">
            <v>肢体</v>
          </cell>
          <cell r="T275" t="str">
            <v>三级</v>
          </cell>
          <cell r="U275" t="str">
            <v>肢体三级;</v>
          </cell>
        </row>
        <row r="276">
          <cell r="B276" t="str">
            <v>513027197102280838</v>
          </cell>
          <cell r="C276" t="str">
            <v>男</v>
          </cell>
          <cell r="D276" t="str">
            <v>汉族</v>
          </cell>
          <cell r="E276" t="str">
            <v>初中</v>
          </cell>
          <cell r="F276" t="str">
            <v>已婚</v>
          </cell>
          <cell r="G276" t="str">
            <v>非农业</v>
          </cell>
        </row>
        <row r="276">
          <cell r="I276" t="str">
            <v>15881802670</v>
          </cell>
          <cell r="J276" t="str">
            <v>石板街道</v>
          </cell>
          <cell r="K276" t="str">
            <v>金刚煤矿矿区居民委员会</v>
          </cell>
          <cell r="L276" t="str">
            <v>四川省达州市达川区石板街道金刚煤矿矿区居民委员会金刚街１号１０栋１楼２号</v>
          </cell>
          <cell r="M276" t="str">
            <v>四川省达州市达川区石板街道金刚煤矿矿区居民委员会金刚街１号１０栋１楼２号</v>
          </cell>
        </row>
        <row r="276">
          <cell r="R276" t="str">
            <v>51302719710228083844</v>
          </cell>
          <cell r="S276" t="str">
            <v>肢体</v>
          </cell>
          <cell r="T276" t="str">
            <v>四级</v>
          </cell>
          <cell r="U276" t="str">
            <v>肢体四级;</v>
          </cell>
        </row>
        <row r="277">
          <cell r="B277" t="str">
            <v>513021195210210215</v>
          </cell>
          <cell r="C277" t="str">
            <v>男</v>
          </cell>
          <cell r="D277" t="str">
            <v>汉族</v>
          </cell>
          <cell r="E277" t="str">
            <v>初中</v>
          </cell>
          <cell r="F277" t="str">
            <v>已婚</v>
          </cell>
          <cell r="G277" t="str">
            <v>非农业</v>
          </cell>
        </row>
        <row r="277">
          <cell r="I277" t="str">
            <v>15281805055</v>
          </cell>
          <cell r="J277" t="str">
            <v>石板街道</v>
          </cell>
          <cell r="K277" t="str">
            <v>金刚煤矿矿区居民委员会</v>
          </cell>
          <cell r="L277" t="str">
            <v>四川省达州市达川区石板街道金刚煤矿矿区居民委员会金刚街２号</v>
          </cell>
          <cell r="M277" t="str">
            <v>四川省达州市达川区石板街道金刚煤矿矿区居民委员会金刚街２号</v>
          </cell>
        </row>
        <row r="277">
          <cell r="R277" t="str">
            <v>51302119521021021544</v>
          </cell>
          <cell r="S277" t="str">
            <v>肢体</v>
          </cell>
          <cell r="T277" t="str">
            <v>四级</v>
          </cell>
          <cell r="U277" t="str">
            <v>肢体四级;</v>
          </cell>
        </row>
        <row r="278">
          <cell r="B278" t="str">
            <v>510226195206234206</v>
          </cell>
          <cell r="C278" t="str">
            <v>女</v>
          </cell>
          <cell r="D278" t="str">
            <v>汉族</v>
          </cell>
          <cell r="E278" t="str">
            <v>文盲</v>
          </cell>
          <cell r="F278" t="str">
            <v>已婚</v>
          </cell>
          <cell r="G278" t="str">
            <v>非农业</v>
          </cell>
        </row>
        <row r="278">
          <cell r="I278" t="str">
            <v>15984780308</v>
          </cell>
          <cell r="J278" t="str">
            <v>石板街道</v>
          </cell>
          <cell r="K278" t="str">
            <v>金刚煤矿矿区居民委员会</v>
          </cell>
          <cell r="L278" t="str">
            <v>四川省达州市达川区石板街道金刚煤矿矿区居民委员会金刚街１号１０栋１单元１号</v>
          </cell>
          <cell r="M278" t="str">
            <v>四川省达州市达川区石板街道金刚煤矿矿区居民委员会金刚街１号１０栋１单元１号</v>
          </cell>
        </row>
        <row r="278">
          <cell r="R278" t="str">
            <v>51022619520623420644</v>
          </cell>
          <cell r="S278" t="str">
            <v>肢体</v>
          </cell>
          <cell r="T278" t="str">
            <v>四级</v>
          </cell>
          <cell r="U278" t="str">
            <v>肢体四级;</v>
          </cell>
        </row>
        <row r="279">
          <cell r="B279" t="str">
            <v>51302119630405019X</v>
          </cell>
          <cell r="C279" t="str">
            <v>男</v>
          </cell>
          <cell r="D279" t="str">
            <v>汉族</v>
          </cell>
          <cell r="E279" t="str">
            <v>初中</v>
          </cell>
          <cell r="F279" t="str">
            <v>已婚</v>
          </cell>
          <cell r="G279" t="str">
            <v>非农业</v>
          </cell>
        </row>
        <row r="279">
          <cell r="I279" t="str">
            <v>13568186182</v>
          </cell>
          <cell r="J279" t="str">
            <v>石板街道</v>
          </cell>
          <cell r="K279" t="str">
            <v>金刚煤矿矿区居民委员会</v>
          </cell>
          <cell r="L279" t="str">
            <v>四川省达州市达川区石板街道金刚煤矿矿区居民委员会金刚街１号９栋２单元６号</v>
          </cell>
          <cell r="M279" t="str">
            <v>四川省达州市达川区石板街道金刚煤矿矿区居民委员会金刚街１号９栋２单元６号</v>
          </cell>
        </row>
        <row r="279">
          <cell r="R279" t="str">
            <v>51302119630405019X43</v>
          </cell>
          <cell r="S279" t="str">
            <v>肢体</v>
          </cell>
          <cell r="T279" t="str">
            <v>三级</v>
          </cell>
          <cell r="U279" t="str">
            <v>肢体三级;</v>
          </cell>
        </row>
        <row r="280">
          <cell r="B280" t="str">
            <v>513021196612160198</v>
          </cell>
          <cell r="C280" t="str">
            <v>男</v>
          </cell>
          <cell r="D280" t="str">
            <v>汉族</v>
          </cell>
          <cell r="E280" t="str">
            <v>初中</v>
          </cell>
          <cell r="F280" t="str">
            <v>已婚</v>
          </cell>
          <cell r="G280" t="str">
            <v>非农业</v>
          </cell>
        </row>
        <row r="280">
          <cell r="I280" t="str">
            <v>13568186182</v>
          </cell>
          <cell r="J280" t="str">
            <v>石板街道</v>
          </cell>
          <cell r="K280" t="str">
            <v>金刚煤矿矿区居民委员会</v>
          </cell>
          <cell r="L280" t="str">
            <v>四川省达州市达川区石板街道金刚煤矿矿区居民委员会金刚街2号</v>
          </cell>
          <cell r="M280" t="str">
            <v>四川省达州市达川区石板街道金刚煤矿矿区居民委员会金刚街2号</v>
          </cell>
        </row>
        <row r="280">
          <cell r="R280" t="str">
            <v>51302119661216019824</v>
          </cell>
          <cell r="S280" t="str">
            <v>听力</v>
          </cell>
          <cell r="T280" t="str">
            <v>四级</v>
          </cell>
          <cell r="U280" t="str">
            <v>听力四级;</v>
          </cell>
        </row>
        <row r="281">
          <cell r="B281" t="str">
            <v>513021197210030213</v>
          </cell>
          <cell r="C281" t="str">
            <v>男</v>
          </cell>
          <cell r="D281" t="str">
            <v>汉族</v>
          </cell>
          <cell r="E281" t="str">
            <v>小学</v>
          </cell>
          <cell r="F281" t="str">
            <v>未婚</v>
          </cell>
          <cell r="G281" t="str">
            <v>非农业</v>
          </cell>
        </row>
        <row r="281">
          <cell r="I281" t="str">
            <v>15876948186</v>
          </cell>
          <cell r="J281" t="str">
            <v>石板街道</v>
          </cell>
          <cell r="K281" t="str">
            <v>金刚煤矿矿区居民委员会</v>
          </cell>
          <cell r="L281" t="str">
            <v>四川省达州市达川区石板街道金刚煤矿矿区居民委员会金刚街１号５幢５单元８号</v>
          </cell>
          <cell r="M281" t="str">
            <v>四川省达州市达川区石板街道金刚煤矿矿区居民委员会金刚街１号５幢５单元８号</v>
          </cell>
          <cell r="N281" t="str">
            <v>卢朝平</v>
          </cell>
          <cell r="O281" t="str">
            <v>父母</v>
          </cell>
        </row>
        <row r="281">
          <cell r="Q281" t="str">
            <v>13219198084</v>
          </cell>
          <cell r="R281" t="str">
            <v>51302119721003021344</v>
          </cell>
          <cell r="S281" t="str">
            <v>肢体</v>
          </cell>
          <cell r="T281" t="str">
            <v>四级</v>
          </cell>
          <cell r="U281" t="str">
            <v>肢体四级;</v>
          </cell>
        </row>
        <row r="282">
          <cell r="B282" t="str">
            <v>513021196310261137</v>
          </cell>
          <cell r="C282" t="str">
            <v>男</v>
          </cell>
          <cell r="D282" t="str">
            <v>汉族</v>
          </cell>
          <cell r="E282" t="str">
            <v>高中</v>
          </cell>
          <cell r="F282" t="str">
            <v>已婚</v>
          </cell>
          <cell r="G282" t="str">
            <v>非农业</v>
          </cell>
        </row>
        <row r="282">
          <cell r="I282" t="str">
            <v>13882820798</v>
          </cell>
          <cell r="J282" t="str">
            <v>石板街道</v>
          </cell>
          <cell r="K282" t="str">
            <v>金刚煤矿矿区居民委员会</v>
          </cell>
          <cell r="L282" t="str">
            <v>四川省达州市达川区石板街道金刚煤矿矿区居民委员会金刚街２号</v>
          </cell>
          <cell r="M282" t="str">
            <v>四川省达州市达川区石板街道金刚煤矿矿区居民委员会金刚街２号</v>
          </cell>
        </row>
        <row r="282">
          <cell r="R282" t="str">
            <v>51302119631026113744</v>
          </cell>
          <cell r="S282" t="str">
            <v>肢体</v>
          </cell>
          <cell r="T282" t="str">
            <v>四级</v>
          </cell>
          <cell r="U282" t="str">
            <v>肢体四级;</v>
          </cell>
        </row>
        <row r="283">
          <cell r="B283" t="str">
            <v>513021196402030192</v>
          </cell>
          <cell r="C283" t="str">
            <v>男</v>
          </cell>
          <cell r="D283" t="str">
            <v>汉族</v>
          </cell>
          <cell r="E283" t="str">
            <v>初中</v>
          </cell>
          <cell r="F283" t="str">
            <v>已婚</v>
          </cell>
          <cell r="G283" t="str">
            <v>非农业</v>
          </cell>
        </row>
        <row r="283">
          <cell r="I283" t="str">
            <v>15182892686</v>
          </cell>
          <cell r="J283" t="str">
            <v>石板街道</v>
          </cell>
          <cell r="K283" t="str">
            <v>金刚煤矿矿区居民委员会</v>
          </cell>
          <cell r="L283" t="str">
            <v>四川省达州市达川区石板街道金刚煤矿矿区居民委员会金刚街１号２栋２７号</v>
          </cell>
          <cell r="M283" t="str">
            <v>四川省达州市达川区石板街道金刚煤矿矿区居民委员会金刚街１号２栋２７号</v>
          </cell>
        </row>
        <row r="283">
          <cell r="R283" t="str">
            <v>51302119640203019244</v>
          </cell>
          <cell r="S283" t="str">
            <v>肢体</v>
          </cell>
          <cell r="T283" t="str">
            <v>四级</v>
          </cell>
          <cell r="U283" t="str">
            <v>肢体四级;</v>
          </cell>
        </row>
        <row r="284">
          <cell r="B284" t="str">
            <v>513021194411010215</v>
          </cell>
          <cell r="C284" t="str">
            <v>男</v>
          </cell>
          <cell r="D284" t="str">
            <v>汉族</v>
          </cell>
          <cell r="E284" t="str">
            <v>小学</v>
          </cell>
          <cell r="F284" t="str">
            <v>已婚</v>
          </cell>
          <cell r="G284" t="str">
            <v>非农业</v>
          </cell>
        </row>
        <row r="284">
          <cell r="I284" t="str">
            <v>13281723986</v>
          </cell>
          <cell r="J284" t="str">
            <v>石板街道</v>
          </cell>
          <cell r="K284" t="str">
            <v>金刚煤矿矿区居民委员会</v>
          </cell>
          <cell r="L284" t="str">
            <v>四川省达州市达川区石板街道金刚煤矿矿区居民委员会金刚街１号７栋５单元２号</v>
          </cell>
          <cell r="M284" t="str">
            <v>四川省达州市达川区石板街道金刚煤矿矿区居民委员会金刚街１号７栋５单元２号</v>
          </cell>
        </row>
        <row r="284">
          <cell r="R284" t="str">
            <v>51302119441101021541</v>
          </cell>
          <cell r="S284" t="str">
            <v>肢体</v>
          </cell>
          <cell r="T284" t="str">
            <v>一级</v>
          </cell>
          <cell r="U284" t="str">
            <v>肢体一级;</v>
          </cell>
        </row>
        <row r="285">
          <cell r="B285" t="str">
            <v>51302119660601045X</v>
          </cell>
          <cell r="C285" t="str">
            <v>男</v>
          </cell>
          <cell r="D285" t="str">
            <v>汉族</v>
          </cell>
          <cell r="E285" t="str">
            <v>初中</v>
          </cell>
          <cell r="F285" t="str">
            <v>已婚</v>
          </cell>
          <cell r="G285" t="str">
            <v>非农业</v>
          </cell>
        </row>
        <row r="285">
          <cell r="I285" t="str">
            <v>13808248815</v>
          </cell>
          <cell r="J285" t="str">
            <v>石板街道</v>
          </cell>
          <cell r="K285" t="str">
            <v>金刚煤矿矿区居民委员会</v>
          </cell>
          <cell r="L285" t="str">
            <v>四川省达州市达川区石板街道金刚煤矿矿区居民委员会金刚街２号</v>
          </cell>
          <cell r="M285" t="str">
            <v>四川省达州市达川区石板街道金刚煤矿矿区居民委员会金刚街２号</v>
          </cell>
          <cell r="N285" t="str">
            <v>唐天芬</v>
          </cell>
          <cell r="O285" t="str">
            <v>配偶</v>
          </cell>
        </row>
        <row r="285">
          <cell r="Q285" t="str">
            <v>13808248815</v>
          </cell>
          <cell r="R285" t="str">
            <v>51302119660601045X54</v>
          </cell>
          <cell r="S285" t="str">
            <v>智力</v>
          </cell>
          <cell r="T285" t="str">
            <v>四级</v>
          </cell>
          <cell r="U285" t="str">
            <v>智力四级;</v>
          </cell>
        </row>
        <row r="286">
          <cell r="B286" t="str">
            <v>513021197910270197</v>
          </cell>
          <cell r="C286" t="str">
            <v>男</v>
          </cell>
          <cell r="D286" t="str">
            <v>汉族</v>
          </cell>
          <cell r="E286" t="str">
            <v>中专</v>
          </cell>
          <cell r="F286" t="str">
            <v>未婚</v>
          </cell>
          <cell r="G286" t="str">
            <v>非农业</v>
          </cell>
        </row>
        <row r="286">
          <cell r="I286" t="str">
            <v>18090930203</v>
          </cell>
          <cell r="J286" t="str">
            <v>石板街道</v>
          </cell>
          <cell r="K286" t="str">
            <v>金刚煤矿矿区居民委员会</v>
          </cell>
          <cell r="L286" t="str">
            <v>四川省达州市达川区石板街道金刚煤矿矿区居民委员会金刚街１号７栋５单元１号</v>
          </cell>
          <cell r="M286" t="str">
            <v>四川省达州市达川区石板街道金刚煤矿矿区居民委员会金刚街１号７栋５单元１号</v>
          </cell>
          <cell r="N286" t="str">
            <v>谭利华</v>
          </cell>
          <cell r="O286" t="str">
            <v>配偶</v>
          </cell>
        </row>
        <row r="286">
          <cell r="Q286" t="str">
            <v>17365541377</v>
          </cell>
          <cell r="R286" t="str">
            <v>51302119791027019753</v>
          </cell>
          <cell r="S286" t="str">
            <v>智力</v>
          </cell>
          <cell r="T286" t="str">
            <v>三级</v>
          </cell>
          <cell r="U286" t="str">
            <v>智力三级;</v>
          </cell>
        </row>
        <row r="287">
          <cell r="B287" t="str">
            <v>513021196304090204</v>
          </cell>
          <cell r="C287" t="str">
            <v>女</v>
          </cell>
          <cell r="D287" t="str">
            <v>汉族</v>
          </cell>
          <cell r="E287" t="str">
            <v>初中</v>
          </cell>
          <cell r="F287" t="str">
            <v>已婚</v>
          </cell>
          <cell r="G287" t="str">
            <v>非农业</v>
          </cell>
        </row>
        <row r="287">
          <cell r="I287" t="str">
            <v>18784873573</v>
          </cell>
          <cell r="J287" t="str">
            <v>石板街道</v>
          </cell>
          <cell r="K287" t="str">
            <v>金刚煤矿矿区居民委员会</v>
          </cell>
          <cell r="L287" t="str">
            <v>四川省达州市达川区石板街道金刚煤矿矿区居民委员会金刚街１号１栋３楼１号</v>
          </cell>
          <cell r="M287" t="str">
            <v>四川省达州市达川区石板街道金刚煤矿矿区居民委员会金刚街１号１栋３楼１号</v>
          </cell>
        </row>
        <row r="287">
          <cell r="R287" t="str">
            <v>51302119630409020444</v>
          </cell>
          <cell r="S287" t="str">
            <v>肢体</v>
          </cell>
          <cell r="T287" t="str">
            <v>四级</v>
          </cell>
          <cell r="U287" t="str">
            <v>肢体四级;</v>
          </cell>
        </row>
        <row r="288">
          <cell r="B288" t="str">
            <v>513021196003200190</v>
          </cell>
          <cell r="C288" t="str">
            <v>男</v>
          </cell>
          <cell r="D288" t="str">
            <v>汉族</v>
          </cell>
          <cell r="E288" t="str">
            <v>初中</v>
          </cell>
          <cell r="F288" t="str">
            <v>已婚</v>
          </cell>
          <cell r="G288" t="str">
            <v>非农业</v>
          </cell>
        </row>
        <row r="288">
          <cell r="I288" t="str">
            <v>15983867825</v>
          </cell>
          <cell r="J288" t="str">
            <v>石板街道</v>
          </cell>
          <cell r="K288" t="str">
            <v>金刚煤矿矿区居民委员会</v>
          </cell>
          <cell r="L288" t="str">
            <v>四川省达州市达川区石板街道金刚煤矿矿区居民委员会金刚街１号２５栋１单元３号</v>
          </cell>
          <cell r="M288" t="str">
            <v>四川省达州市达川区石板街道金刚煤矿矿区居民委员会金刚街１号２５栋１单元３号</v>
          </cell>
        </row>
        <row r="288">
          <cell r="R288" t="str">
            <v>51302119600320019044</v>
          </cell>
          <cell r="S288" t="str">
            <v>肢体</v>
          </cell>
          <cell r="T288" t="str">
            <v>四级</v>
          </cell>
          <cell r="U288" t="str">
            <v>肢体四级;</v>
          </cell>
        </row>
        <row r="289">
          <cell r="B289" t="str">
            <v>513027196803041915</v>
          </cell>
          <cell r="C289" t="str">
            <v>男</v>
          </cell>
          <cell r="D289" t="str">
            <v>汉族</v>
          </cell>
          <cell r="E289" t="str">
            <v>小学</v>
          </cell>
          <cell r="F289" t="str">
            <v>已婚</v>
          </cell>
          <cell r="G289" t="str">
            <v>非农业</v>
          </cell>
        </row>
        <row r="289">
          <cell r="I289" t="str">
            <v>17341918633</v>
          </cell>
          <cell r="J289" t="str">
            <v>石板街道</v>
          </cell>
          <cell r="K289" t="str">
            <v>金刚煤矿矿区居民委员会</v>
          </cell>
          <cell r="L289" t="str">
            <v>四川省达州市达川区石板街道金刚煤矿矿区居民委员会金刚街２号</v>
          </cell>
          <cell r="M289" t="str">
            <v>四川省达州市达川区石板街道金刚煤矿矿区居民委员会金刚街２号</v>
          </cell>
        </row>
        <row r="289">
          <cell r="R289" t="str">
            <v>51302719680304191543</v>
          </cell>
          <cell r="S289" t="str">
            <v>肢体</v>
          </cell>
          <cell r="T289" t="str">
            <v>三级</v>
          </cell>
          <cell r="U289" t="str">
            <v>肢体三级;</v>
          </cell>
        </row>
        <row r="290">
          <cell r="B290" t="str">
            <v>513021196310120190</v>
          </cell>
          <cell r="C290" t="str">
            <v>男</v>
          </cell>
          <cell r="D290" t="str">
            <v>汉族</v>
          </cell>
          <cell r="E290" t="str">
            <v>小学</v>
          </cell>
          <cell r="F290" t="str">
            <v>已婚</v>
          </cell>
          <cell r="G290" t="str">
            <v>非农业</v>
          </cell>
        </row>
        <row r="290">
          <cell r="I290" t="str">
            <v>15881853848</v>
          </cell>
          <cell r="J290" t="str">
            <v>石板街道</v>
          </cell>
          <cell r="K290" t="str">
            <v>金刚煤矿矿区居民委员会</v>
          </cell>
          <cell r="L290" t="str">
            <v>四川省达州市达川区石板镇金刚煤矿矿区居民委员会金刚街1号29栋1单元10号</v>
          </cell>
          <cell r="M290" t="str">
            <v>四川省达州市达川区石板镇金刚煤矿矿区居民委员会金刚街1号29栋1单元10号</v>
          </cell>
        </row>
        <row r="290">
          <cell r="R290" t="str">
            <v>51302119631012019033</v>
          </cell>
          <cell r="S290" t="str">
            <v>言语</v>
          </cell>
          <cell r="T290" t="str">
            <v>三级</v>
          </cell>
          <cell r="U290" t="str">
            <v>言语三级;</v>
          </cell>
        </row>
        <row r="291">
          <cell r="B291" t="str">
            <v>513021194602060215</v>
          </cell>
          <cell r="C291" t="str">
            <v>男</v>
          </cell>
          <cell r="D291" t="str">
            <v>汉族</v>
          </cell>
          <cell r="E291" t="str">
            <v>小学</v>
          </cell>
          <cell r="F291" t="str">
            <v>已婚</v>
          </cell>
          <cell r="G291" t="str">
            <v>非农业</v>
          </cell>
        </row>
        <row r="291">
          <cell r="I291" t="str">
            <v>13547254957</v>
          </cell>
          <cell r="J291" t="str">
            <v>石板街道</v>
          </cell>
          <cell r="K291" t="str">
            <v>金刚煤矿矿区居民委员会</v>
          </cell>
          <cell r="L291" t="str">
            <v>四川省达州市达川区石板镇金刚煤矿矿区居民委员会金刚街2号</v>
          </cell>
          <cell r="M291" t="str">
            <v>四川省达州市达川区石板镇金刚煤矿矿区居民委员会金刚街2号</v>
          </cell>
        </row>
        <row r="291">
          <cell r="R291" t="str">
            <v>51302119460206021541</v>
          </cell>
          <cell r="S291" t="str">
            <v>肢体</v>
          </cell>
          <cell r="T291" t="str">
            <v>一级</v>
          </cell>
          <cell r="U291" t="str">
            <v>肢体一级;</v>
          </cell>
        </row>
        <row r="292">
          <cell r="B292" t="str">
            <v>513021196512156976</v>
          </cell>
          <cell r="C292" t="str">
            <v>男</v>
          </cell>
          <cell r="D292" t="str">
            <v>汉族</v>
          </cell>
          <cell r="E292" t="str">
            <v>小学</v>
          </cell>
          <cell r="F292" t="str">
            <v>已婚</v>
          </cell>
          <cell r="G292" t="str">
            <v>非农业</v>
          </cell>
        </row>
        <row r="292">
          <cell r="I292" t="str">
            <v>13419085458</v>
          </cell>
          <cell r="J292" t="str">
            <v>石板街道</v>
          </cell>
          <cell r="K292" t="str">
            <v>金刚煤矿矿区居民委员会</v>
          </cell>
          <cell r="L292" t="str">
            <v>四川省达州市达川区石板镇金刚煤矿矿区居民委员会金刚街2号</v>
          </cell>
          <cell r="M292" t="str">
            <v>四川省达州市达川区石板镇金刚煤矿矿区居民委员会金刚街2号</v>
          </cell>
        </row>
        <row r="292">
          <cell r="R292" t="str">
            <v>51302119651215697643</v>
          </cell>
          <cell r="S292" t="str">
            <v>肢体</v>
          </cell>
          <cell r="T292" t="str">
            <v>三级</v>
          </cell>
          <cell r="U292" t="str">
            <v>肢体三级;</v>
          </cell>
        </row>
        <row r="293">
          <cell r="B293" t="str">
            <v>510226197111013450</v>
          </cell>
          <cell r="C293" t="str">
            <v>男</v>
          </cell>
          <cell r="D293" t="str">
            <v>汉族</v>
          </cell>
          <cell r="E293" t="str">
            <v>小学</v>
          </cell>
          <cell r="F293" t="str">
            <v>离婚</v>
          </cell>
          <cell r="G293" t="str">
            <v>非农业</v>
          </cell>
        </row>
        <row r="293">
          <cell r="I293" t="str">
            <v>15881434672</v>
          </cell>
          <cell r="J293" t="str">
            <v>石板街道</v>
          </cell>
          <cell r="K293" t="str">
            <v>金刚煤矿矿区居民委员会</v>
          </cell>
          <cell r="L293" t="str">
            <v>四川省达州市达川区石板镇金刚煤矿矿区居民委员会金刚街2号</v>
          </cell>
          <cell r="M293" t="str">
            <v>四川省达州市达川区石板镇金刚煤矿矿区居民委员会金刚街2号</v>
          </cell>
        </row>
        <row r="293">
          <cell r="R293" t="str">
            <v>51022619711101345044</v>
          </cell>
          <cell r="S293" t="str">
            <v>肢体</v>
          </cell>
          <cell r="T293" t="str">
            <v>四级</v>
          </cell>
          <cell r="U293" t="str">
            <v>肢体四级;</v>
          </cell>
        </row>
        <row r="294">
          <cell r="B294" t="str">
            <v>513021194812100238</v>
          </cell>
          <cell r="C294" t="str">
            <v>男</v>
          </cell>
          <cell r="D294" t="str">
            <v>汉族</v>
          </cell>
          <cell r="E294" t="str">
            <v>小学</v>
          </cell>
          <cell r="F294" t="str">
            <v>已婚</v>
          </cell>
          <cell r="G294" t="str">
            <v>非农业</v>
          </cell>
        </row>
        <row r="294">
          <cell r="I294" t="str">
            <v>18282283969</v>
          </cell>
          <cell r="J294" t="str">
            <v>石板街道</v>
          </cell>
          <cell r="K294" t="str">
            <v>金刚煤矿矿区居民委员会</v>
          </cell>
          <cell r="L294" t="str">
            <v>四川省达州市达川区石板街道金刚煤矿矿区居民委员会金刚街1号16栋4单元8号</v>
          </cell>
          <cell r="M294" t="str">
            <v>四川省达州市达川区石板街道金刚煤矿矿区居民委员会金刚街1号16栋4单元8号</v>
          </cell>
        </row>
        <row r="294">
          <cell r="R294" t="str">
            <v>51302119481210023842</v>
          </cell>
          <cell r="S294" t="str">
            <v>肢体</v>
          </cell>
          <cell r="T294" t="str">
            <v>二级</v>
          </cell>
          <cell r="U294" t="str">
            <v>肢体二级;</v>
          </cell>
        </row>
        <row r="295">
          <cell r="B295" t="str">
            <v>513021197511110217</v>
          </cell>
          <cell r="C295" t="str">
            <v>男</v>
          </cell>
          <cell r="D295" t="str">
            <v>汉族</v>
          </cell>
          <cell r="E295" t="str">
            <v>小学</v>
          </cell>
          <cell r="F295" t="str">
            <v>已婚</v>
          </cell>
          <cell r="G295" t="str">
            <v>非农业</v>
          </cell>
        </row>
        <row r="295">
          <cell r="I295" t="str">
            <v>18282283969</v>
          </cell>
          <cell r="J295" t="str">
            <v>石板街道</v>
          </cell>
          <cell r="K295" t="str">
            <v>金刚煤矿矿区居民委员会</v>
          </cell>
          <cell r="L295" t="str">
            <v>四川省达州市达川区石板街道金刚煤矿矿区居民委员会金刚街1号17栋2楼8号</v>
          </cell>
          <cell r="M295" t="str">
            <v>四川省达州市达川区石板街道金刚煤矿矿区居民委员会金刚街1号17栋2楼8号</v>
          </cell>
          <cell r="N295" t="str">
            <v>吴传兰</v>
          </cell>
          <cell r="O295" t="str">
            <v>配偶</v>
          </cell>
        </row>
        <row r="295">
          <cell r="Q295" t="str">
            <v>18282283969</v>
          </cell>
          <cell r="R295" t="str">
            <v>51302119751111021763</v>
          </cell>
          <cell r="S295" t="str">
            <v>精神</v>
          </cell>
          <cell r="T295" t="str">
            <v>三级</v>
          </cell>
          <cell r="U295" t="str">
            <v>精神三级;</v>
          </cell>
        </row>
        <row r="296">
          <cell r="B296" t="str">
            <v>513001196302011247</v>
          </cell>
          <cell r="C296" t="str">
            <v>女</v>
          </cell>
          <cell r="D296" t="str">
            <v>汉族</v>
          </cell>
          <cell r="E296" t="str">
            <v>小学</v>
          </cell>
          <cell r="F296" t="str">
            <v>已婚</v>
          </cell>
          <cell r="G296" t="str">
            <v>非农业</v>
          </cell>
        </row>
        <row r="296">
          <cell r="I296" t="str">
            <v>17828893056</v>
          </cell>
          <cell r="J296" t="str">
            <v>石板街道</v>
          </cell>
          <cell r="K296" t="str">
            <v>金刚煤矿矿区居民委员会</v>
          </cell>
          <cell r="L296" t="str">
            <v>四川省达州市达川区石板街道金刚煤矿矿区居民委员会金刚街1号5栋4单元5号</v>
          </cell>
          <cell r="M296" t="str">
            <v>四川省达州市达川区石板街道金刚煤矿矿区居民委员会金刚街1号5栋4单元5号</v>
          </cell>
        </row>
        <row r="296">
          <cell r="R296" t="str">
            <v>51300119630201124723</v>
          </cell>
          <cell r="S296" t="str">
            <v>听力</v>
          </cell>
          <cell r="T296" t="str">
            <v>三级</v>
          </cell>
          <cell r="U296" t="str">
            <v>听力三级;</v>
          </cell>
        </row>
        <row r="297">
          <cell r="B297" t="str">
            <v>513021195711060470</v>
          </cell>
          <cell r="C297" t="str">
            <v>男</v>
          </cell>
          <cell r="D297" t="str">
            <v>汉族</v>
          </cell>
          <cell r="E297" t="str">
            <v>小学</v>
          </cell>
          <cell r="F297" t="str">
            <v>已婚</v>
          </cell>
          <cell r="G297" t="str">
            <v>农业</v>
          </cell>
        </row>
        <row r="297">
          <cell r="I297" t="str">
            <v>15281836929</v>
          </cell>
          <cell r="J297" t="str">
            <v>石板街道</v>
          </cell>
          <cell r="K297" t="str">
            <v>金刚村</v>
          </cell>
          <cell r="L297" t="str">
            <v>四川省达州市达川区石板镇石河村2组</v>
          </cell>
          <cell r="M297" t="str">
            <v>四川省达州市达川区石板镇石河村2组</v>
          </cell>
          <cell r="N297" t="str">
            <v>刘继琼</v>
          </cell>
          <cell r="O297" t="str">
            <v>配偶</v>
          </cell>
        </row>
        <row r="297">
          <cell r="R297" t="str">
            <v>51302119571106047044</v>
          </cell>
          <cell r="S297" t="str">
            <v>肢体</v>
          </cell>
          <cell r="T297" t="str">
            <v>四级</v>
          </cell>
          <cell r="U297" t="str">
            <v>肢体四级;</v>
          </cell>
        </row>
        <row r="298">
          <cell r="B298" t="str">
            <v>513021194408190446</v>
          </cell>
          <cell r="C298" t="str">
            <v>女</v>
          </cell>
          <cell r="D298" t="str">
            <v>汉族</v>
          </cell>
          <cell r="E298" t="str">
            <v>小学</v>
          </cell>
          <cell r="F298" t="str">
            <v>已婚</v>
          </cell>
          <cell r="G298" t="str">
            <v>农业</v>
          </cell>
        </row>
        <row r="298">
          <cell r="I298" t="str">
            <v>18160053175</v>
          </cell>
          <cell r="J298" t="str">
            <v>石板街道</v>
          </cell>
          <cell r="K298" t="str">
            <v>金刚村</v>
          </cell>
          <cell r="L298" t="str">
            <v>四川省达州市达川区石板镇石河村2组</v>
          </cell>
          <cell r="M298" t="str">
            <v>四川省达州市达川区石板镇石河村2组</v>
          </cell>
          <cell r="N298" t="str">
            <v>王发炳</v>
          </cell>
          <cell r="O298" t="str">
            <v>配偶</v>
          </cell>
        </row>
        <row r="298">
          <cell r="R298" t="str">
            <v>51302119440819044621</v>
          </cell>
          <cell r="S298" t="str">
            <v>听力</v>
          </cell>
          <cell r="T298" t="str">
            <v>一级</v>
          </cell>
          <cell r="U298" t="str">
            <v>听力一级;</v>
          </cell>
        </row>
        <row r="299">
          <cell r="B299" t="str">
            <v>513021195002270598</v>
          </cell>
          <cell r="C299" t="str">
            <v>男</v>
          </cell>
          <cell r="D299" t="str">
            <v>汉族</v>
          </cell>
          <cell r="E299" t="str">
            <v>小学</v>
          </cell>
          <cell r="F299" t="str">
            <v>已婚</v>
          </cell>
          <cell r="G299" t="str">
            <v>农业</v>
          </cell>
        </row>
        <row r="299">
          <cell r="I299" t="str">
            <v>13558529979</v>
          </cell>
          <cell r="J299" t="str">
            <v>石板街道</v>
          </cell>
          <cell r="K299" t="str">
            <v>金刚村</v>
          </cell>
          <cell r="L299" t="str">
            <v>四川省达州市达川区石板镇石河村3组</v>
          </cell>
          <cell r="M299" t="str">
            <v>四川省达州市达川区石板镇石河村3组</v>
          </cell>
          <cell r="N299" t="str">
            <v>张凉清</v>
          </cell>
          <cell r="O299" t="str">
            <v>配偶</v>
          </cell>
        </row>
        <row r="299">
          <cell r="R299" t="str">
            <v>51302119500227059844</v>
          </cell>
          <cell r="S299" t="str">
            <v>肢体</v>
          </cell>
          <cell r="T299" t="str">
            <v>四级</v>
          </cell>
          <cell r="U299" t="str">
            <v>肢体四级;</v>
          </cell>
        </row>
        <row r="300">
          <cell r="B300" t="str">
            <v>513021195212080469</v>
          </cell>
          <cell r="C300" t="str">
            <v>女</v>
          </cell>
          <cell r="D300" t="str">
            <v>汉族</v>
          </cell>
          <cell r="E300" t="str">
            <v>初中</v>
          </cell>
          <cell r="F300" t="str">
            <v>已婚</v>
          </cell>
          <cell r="G300" t="str">
            <v>农业</v>
          </cell>
        </row>
        <row r="300">
          <cell r="I300" t="str">
            <v>18282203834</v>
          </cell>
          <cell r="J300" t="str">
            <v>石板街道</v>
          </cell>
          <cell r="K300" t="str">
            <v>金刚村</v>
          </cell>
          <cell r="L300" t="str">
            <v>四川省达州市达川区石板镇石河村2组</v>
          </cell>
          <cell r="M300" t="str">
            <v>四川省达州市达川区石板镇石河村2组</v>
          </cell>
          <cell r="N300" t="str">
            <v>邹邦清</v>
          </cell>
          <cell r="O300" t="str">
            <v>配偶</v>
          </cell>
        </row>
        <row r="300">
          <cell r="R300" t="str">
            <v>51302119521208046944</v>
          </cell>
          <cell r="S300" t="str">
            <v>肢体</v>
          </cell>
          <cell r="T300" t="str">
            <v>四级</v>
          </cell>
          <cell r="U300" t="str">
            <v>肢体四级;</v>
          </cell>
        </row>
        <row r="301">
          <cell r="B301" t="str">
            <v>513021194607160450</v>
          </cell>
          <cell r="C301" t="str">
            <v>男</v>
          </cell>
          <cell r="D301" t="str">
            <v>汉族</v>
          </cell>
          <cell r="E301" t="str">
            <v>小学</v>
          </cell>
          <cell r="F301" t="str">
            <v>已婚</v>
          </cell>
          <cell r="G301" t="str">
            <v>农业</v>
          </cell>
        </row>
        <row r="301">
          <cell r="I301" t="str">
            <v>13419050896</v>
          </cell>
          <cell r="J301" t="str">
            <v>石板街道</v>
          </cell>
          <cell r="K301" t="str">
            <v>金刚村</v>
          </cell>
          <cell r="L301" t="str">
            <v>四川省达州市达川区石板镇石河村1组</v>
          </cell>
          <cell r="M301" t="str">
            <v>四川省达州市达川区石板镇石河村1组</v>
          </cell>
          <cell r="N301" t="str">
            <v>李春纯</v>
          </cell>
          <cell r="O301" t="str">
            <v>配偶</v>
          </cell>
        </row>
        <row r="301">
          <cell r="R301" t="str">
            <v>51302119460716045044</v>
          </cell>
          <cell r="S301" t="str">
            <v>肢体</v>
          </cell>
          <cell r="T301" t="str">
            <v>四级</v>
          </cell>
          <cell r="U301" t="str">
            <v>肢体四级;</v>
          </cell>
        </row>
        <row r="302">
          <cell r="B302" t="str">
            <v>513021194906170472</v>
          </cell>
          <cell r="C302" t="str">
            <v>男</v>
          </cell>
          <cell r="D302" t="str">
            <v>汉族</v>
          </cell>
          <cell r="E302" t="str">
            <v>小学</v>
          </cell>
          <cell r="F302" t="str">
            <v>未婚</v>
          </cell>
          <cell r="G302" t="str">
            <v>农业</v>
          </cell>
        </row>
        <row r="302">
          <cell r="I302" t="str">
            <v>18781871836</v>
          </cell>
          <cell r="J302" t="str">
            <v>石板街道</v>
          </cell>
          <cell r="K302" t="str">
            <v>金刚村</v>
          </cell>
          <cell r="L302" t="str">
            <v>四川省达州市达川区石板镇石河村4组</v>
          </cell>
          <cell r="M302" t="str">
            <v>四川省达州市达川区石板镇石河村4组</v>
          </cell>
        </row>
        <row r="302">
          <cell r="O302" t="str">
            <v>配偶</v>
          </cell>
        </row>
        <row r="302">
          <cell r="R302" t="str">
            <v>51302119490617047243</v>
          </cell>
          <cell r="S302" t="str">
            <v>肢体</v>
          </cell>
          <cell r="T302" t="str">
            <v>三级</v>
          </cell>
          <cell r="U302" t="str">
            <v>肢体三级;</v>
          </cell>
        </row>
        <row r="303">
          <cell r="B303" t="str">
            <v>513021195006230972</v>
          </cell>
          <cell r="C303" t="str">
            <v>男</v>
          </cell>
          <cell r="D303" t="str">
            <v>汉族</v>
          </cell>
          <cell r="E303" t="str">
            <v>小学</v>
          </cell>
          <cell r="F303" t="str">
            <v>已婚</v>
          </cell>
          <cell r="G303" t="str">
            <v>农业</v>
          </cell>
        </row>
        <row r="303">
          <cell r="J303" t="str">
            <v>石板街道</v>
          </cell>
          <cell r="K303" t="str">
            <v>金刚村</v>
          </cell>
          <cell r="L303" t="str">
            <v>四川省达县石板镇金刚村7组</v>
          </cell>
          <cell r="M303" t="str">
            <v>四川省达县石板镇金刚村7组</v>
          </cell>
        </row>
        <row r="303">
          <cell r="R303" t="str">
            <v>51302119500623097244</v>
          </cell>
          <cell r="S303" t="str">
            <v>肢体</v>
          </cell>
          <cell r="T303" t="str">
            <v>四级</v>
          </cell>
          <cell r="U303" t="str">
            <v>肢体四级;</v>
          </cell>
        </row>
        <row r="304">
          <cell r="B304" t="str">
            <v>513021195111280445</v>
          </cell>
          <cell r="C304" t="str">
            <v>女</v>
          </cell>
          <cell r="D304" t="str">
            <v>汉族</v>
          </cell>
          <cell r="E304" t="str">
            <v>小学</v>
          </cell>
          <cell r="F304" t="str">
            <v>已婚</v>
          </cell>
          <cell r="G304" t="str">
            <v>农业</v>
          </cell>
        </row>
        <row r="304">
          <cell r="I304" t="str">
            <v>18980680404</v>
          </cell>
          <cell r="J304" t="str">
            <v>石板街道</v>
          </cell>
          <cell r="K304" t="str">
            <v>金刚村</v>
          </cell>
          <cell r="L304" t="str">
            <v>四川省达州市达川区石板镇石河村2组</v>
          </cell>
          <cell r="M304" t="str">
            <v>四川省达州市达川区石板镇石河村2组</v>
          </cell>
          <cell r="N304" t="str">
            <v>刘运竹</v>
          </cell>
          <cell r="O304" t="str">
            <v>配偶</v>
          </cell>
        </row>
        <row r="304">
          <cell r="R304" t="str">
            <v>51302119511128044544</v>
          </cell>
          <cell r="S304" t="str">
            <v>肢体</v>
          </cell>
          <cell r="T304" t="str">
            <v>四级</v>
          </cell>
          <cell r="U304" t="str">
            <v>肢体四级;</v>
          </cell>
        </row>
        <row r="305">
          <cell r="B305" t="str">
            <v>513021193609240468</v>
          </cell>
          <cell r="C305" t="str">
            <v>女</v>
          </cell>
          <cell r="D305" t="str">
            <v>汉族</v>
          </cell>
          <cell r="E305" t="str">
            <v>文盲</v>
          </cell>
          <cell r="F305" t="str">
            <v>已婚</v>
          </cell>
          <cell r="G305" t="str">
            <v>农业</v>
          </cell>
        </row>
        <row r="305">
          <cell r="I305" t="str">
            <v>18980193676</v>
          </cell>
          <cell r="J305" t="str">
            <v>石板街道</v>
          </cell>
          <cell r="K305" t="str">
            <v>金刚村</v>
          </cell>
          <cell r="L305" t="str">
            <v>四川省达州市达川区石板镇石河村11组</v>
          </cell>
          <cell r="M305" t="str">
            <v>四川省达州市达川区石板镇石河村11组</v>
          </cell>
          <cell r="N305" t="str">
            <v>何治恒</v>
          </cell>
          <cell r="O305" t="str">
            <v>配偶</v>
          </cell>
        </row>
        <row r="305">
          <cell r="R305" t="str">
            <v>51302119360924046822</v>
          </cell>
          <cell r="S305" t="str">
            <v>听力</v>
          </cell>
          <cell r="T305" t="str">
            <v>二级</v>
          </cell>
          <cell r="U305" t="str">
            <v>听力二级;</v>
          </cell>
        </row>
        <row r="306">
          <cell r="B306" t="str">
            <v>513021197601140452</v>
          </cell>
          <cell r="C306" t="str">
            <v>男</v>
          </cell>
          <cell r="D306" t="str">
            <v>汉族</v>
          </cell>
          <cell r="E306" t="str">
            <v>小学</v>
          </cell>
          <cell r="F306" t="str">
            <v>已婚</v>
          </cell>
          <cell r="G306" t="str">
            <v>农业</v>
          </cell>
        </row>
        <row r="306">
          <cell r="I306" t="str">
            <v>13551445619</v>
          </cell>
          <cell r="J306" t="str">
            <v>石板街道</v>
          </cell>
          <cell r="K306" t="str">
            <v>金刚村</v>
          </cell>
          <cell r="L306" t="str">
            <v>四川省达州市达川区石板镇石河村5组</v>
          </cell>
          <cell r="M306" t="str">
            <v>四川省达州市达川区石板镇石河村5组</v>
          </cell>
          <cell r="N306" t="str">
            <v>吴树国</v>
          </cell>
          <cell r="O306" t="str">
            <v>父母</v>
          </cell>
        </row>
        <row r="306">
          <cell r="Q306" t="str">
            <v>13551445619</v>
          </cell>
          <cell r="R306" t="str">
            <v>51302119760114045244</v>
          </cell>
          <cell r="S306" t="str">
            <v>肢体</v>
          </cell>
          <cell r="T306" t="str">
            <v>四级</v>
          </cell>
          <cell r="U306" t="str">
            <v>肢体四级;</v>
          </cell>
        </row>
        <row r="307">
          <cell r="B307" t="str">
            <v>51172120001029571X</v>
          </cell>
          <cell r="C307" t="str">
            <v>男</v>
          </cell>
          <cell r="D307" t="str">
            <v>汉族</v>
          </cell>
          <cell r="E307" t="str">
            <v>文盲</v>
          </cell>
          <cell r="F307" t="str">
            <v>未婚</v>
          </cell>
          <cell r="G307" t="str">
            <v>农业</v>
          </cell>
        </row>
        <row r="307">
          <cell r="I307" t="str">
            <v>13458465561</v>
          </cell>
          <cell r="J307" t="str">
            <v>石板街道</v>
          </cell>
          <cell r="K307" t="str">
            <v>金刚村</v>
          </cell>
          <cell r="L307" t="str">
            <v>四川省达州市达川区石板街道金刚村9组</v>
          </cell>
          <cell r="M307" t="str">
            <v>四川省达州市达川区石板街道金刚村9组</v>
          </cell>
          <cell r="N307" t="str">
            <v>何安明</v>
          </cell>
          <cell r="O307" t="str">
            <v>父母</v>
          </cell>
        </row>
        <row r="307">
          <cell r="Q307" t="str">
            <v>13458465561</v>
          </cell>
          <cell r="R307" t="str">
            <v>51172120001029571X32</v>
          </cell>
          <cell r="S307" t="str">
            <v>言语</v>
          </cell>
          <cell r="T307" t="str">
            <v>二级</v>
          </cell>
          <cell r="U307" t="str">
            <v>言语二级;</v>
          </cell>
        </row>
        <row r="308">
          <cell r="B308" t="str">
            <v>513021194404240450</v>
          </cell>
          <cell r="C308" t="str">
            <v>男</v>
          </cell>
          <cell r="D308" t="str">
            <v>汉族</v>
          </cell>
          <cell r="E308" t="str">
            <v>小学</v>
          </cell>
          <cell r="F308" t="str">
            <v>已婚</v>
          </cell>
          <cell r="G308" t="str">
            <v>农业</v>
          </cell>
        </row>
        <row r="308">
          <cell r="I308" t="str">
            <v>13778375684</v>
          </cell>
          <cell r="J308" t="str">
            <v>石板街道</v>
          </cell>
          <cell r="K308" t="str">
            <v>金刚村</v>
          </cell>
          <cell r="L308" t="str">
            <v>四川省达州市达川区石板镇石河村2组</v>
          </cell>
          <cell r="M308" t="str">
            <v>四川省达州市达川区石板镇石河村2组</v>
          </cell>
          <cell r="N308" t="str">
            <v>吴忠文</v>
          </cell>
          <cell r="O308" t="str">
            <v>配偶</v>
          </cell>
        </row>
        <row r="308">
          <cell r="R308" t="str">
            <v>51302119440424045043</v>
          </cell>
          <cell r="S308" t="str">
            <v>肢体</v>
          </cell>
          <cell r="T308" t="str">
            <v>三级</v>
          </cell>
          <cell r="U308" t="str">
            <v>肢体三级;</v>
          </cell>
        </row>
        <row r="309">
          <cell r="B309" t="str">
            <v>513021194812160441</v>
          </cell>
          <cell r="C309" t="str">
            <v>女</v>
          </cell>
          <cell r="D309" t="str">
            <v>汉族</v>
          </cell>
          <cell r="E309" t="str">
            <v>文盲</v>
          </cell>
          <cell r="F309" t="str">
            <v>已婚</v>
          </cell>
          <cell r="G309" t="str">
            <v>农业</v>
          </cell>
        </row>
        <row r="309">
          <cell r="I309" t="str">
            <v>15882970705</v>
          </cell>
          <cell r="J309" t="str">
            <v>石板街道</v>
          </cell>
          <cell r="K309" t="str">
            <v>金刚村</v>
          </cell>
          <cell r="L309" t="str">
            <v>四川省达州市达川区石板街道金刚村5组</v>
          </cell>
          <cell r="M309" t="str">
            <v>四川省达州市达川区石板街道金刚村5组</v>
          </cell>
          <cell r="N309" t="str">
            <v>吴学春</v>
          </cell>
          <cell r="O309" t="str">
            <v>子</v>
          </cell>
        </row>
        <row r="309">
          <cell r="Q309" t="str">
            <v>15882970705</v>
          </cell>
          <cell r="R309" t="str">
            <v>51302119481216044144</v>
          </cell>
          <cell r="S309" t="str">
            <v>肢体</v>
          </cell>
          <cell r="T309" t="str">
            <v>四级</v>
          </cell>
          <cell r="U309" t="str">
            <v>肢体四级;</v>
          </cell>
        </row>
        <row r="310">
          <cell r="B310" t="str">
            <v>513021194708260477</v>
          </cell>
          <cell r="C310" t="str">
            <v>男</v>
          </cell>
          <cell r="D310" t="str">
            <v>汉族</v>
          </cell>
          <cell r="E310" t="str">
            <v>小学</v>
          </cell>
          <cell r="F310" t="str">
            <v>已婚</v>
          </cell>
          <cell r="G310" t="str">
            <v>农业</v>
          </cell>
        </row>
        <row r="310">
          <cell r="I310" t="str">
            <v>13408187445</v>
          </cell>
          <cell r="J310" t="str">
            <v>石板街道</v>
          </cell>
          <cell r="K310" t="str">
            <v>金刚村</v>
          </cell>
          <cell r="L310" t="str">
            <v>四川省达州市达川区石板街道金刚村7组</v>
          </cell>
          <cell r="M310" t="str">
            <v>四川省达州市达川区石板街道金刚村7组</v>
          </cell>
        </row>
        <row r="310">
          <cell r="R310" t="str">
            <v>51302119470826047714</v>
          </cell>
          <cell r="S310" t="str">
            <v>视力</v>
          </cell>
          <cell r="T310" t="str">
            <v>四级</v>
          </cell>
          <cell r="U310" t="str">
            <v>视力四级;</v>
          </cell>
        </row>
        <row r="311">
          <cell r="B311" t="str">
            <v>513021196810080455</v>
          </cell>
          <cell r="C311" t="str">
            <v>男</v>
          </cell>
          <cell r="D311" t="str">
            <v>汉族</v>
          </cell>
          <cell r="E311" t="str">
            <v>文盲</v>
          </cell>
          <cell r="F311" t="str">
            <v>已婚</v>
          </cell>
          <cell r="G311" t="str">
            <v>农业</v>
          </cell>
        </row>
        <row r="311">
          <cell r="I311" t="str">
            <v>15882970705</v>
          </cell>
          <cell r="J311" t="str">
            <v>石板街道</v>
          </cell>
          <cell r="K311" t="str">
            <v>金刚村</v>
          </cell>
          <cell r="L311" t="str">
            <v>四川省达州市达川区石板街道金刚村5组</v>
          </cell>
          <cell r="M311" t="str">
            <v>四川省达州市达川区石板街道金刚村5组</v>
          </cell>
          <cell r="N311" t="str">
            <v>李后珍</v>
          </cell>
          <cell r="O311" t="str">
            <v>父母</v>
          </cell>
        </row>
        <row r="311">
          <cell r="Q311" t="str">
            <v>15882970705</v>
          </cell>
          <cell r="R311" t="str">
            <v>51302119681008045542</v>
          </cell>
          <cell r="S311" t="str">
            <v>肢体</v>
          </cell>
          <cell r="T311" t="str">
            <v>二级</v>
          </cell>
          <cell r="U311" t="str">
            <v>肢体二级;</v>
          </cell>
        </row>
        <row r="312">
          <cell r="B312" t="str">
            <v>513021195804050458</v>
          </cell>
          <cell r="C312" t="str">
            <v>男</v>
          </cell>
          <cell r="D312" t="str">
            <v>汉族</v>
          </cell>
          <cell r="E312" t="str">
            <v>初中</v>
          </cell>
          <cell r="F312" t="str">
            <v>已婚</v>
          </cell>
          <cell r="G312" t="str">
            <v>农业</v>
          </cell>
        </row>
        <row r="312">
          <cell r="I312" t="str">
            <v>13982824978</v>
          </cell>
          <cell r="J312" t="str">
            <v>石板街道</v>
          </cell>
          <cell r="K312" t="str">
            <v>金刚村</v>
          </cell>
          <cell r="L312" t="str">
            <v>四川省达州市达川区石板街道金刚村9组</v>
          </cell>
          <cell r="M312" t="str">
            <v>四川省达州市达川区石板街道金刚村9组</v>
          </cell>
          <cell r="N312" t="str">
            <v>李德银</v>
          </cell>
          <cell r="O312" t="str">
            <v>子</v>
          </cell>
        </row>
        <row r="312">
          <cell r="Q312" t="str">
            <v>15282422501</v>
          </cell>
          <cell r="R312" t="str">
            <v>51302119580405045844</v>
          </cell>
          <cell r="S312" t="str">
            <v>肢体</v>
          </cell>
          <cell r="T312" t="str">
            <v>四级</v>
          </cell>
          <cell r="U312" t="str">
            <v>肢体四级;</v>
          </cell>
        </row>
        <row r="313">
          <cell r="B313" t="str">
            <v>513021197109200476</v>
          </cell>
          <cell r="C313" t="str">
            <v>男</v>
          </cell>
          <cell r="D313" t="str">
            <v>汉族</v>
          </cell>
          <cell r="E313" t="str">
            <v>文盲</v>
          </cell>
          <cell r="F313" t="str">
            <v>未婚</v>
          </cell>
          <cell r="G313" t="str">
            <v>农业</v>
          </cell>
        </row>
        <row r="313">
          <cell r="I313" t="str">
            <v>18780823433</v>
          </cell>
          <cell r="J313" t="str">
            <v>石板街道</v>
          </cell>
          <cell r="K313" t="str">
            <v>金刚村</v>
          </cell>
          <cell r="L313" t="str">
            <v>四川省达州市达川区石板后河村五社</v>
          </cell>
          <cell r="M313" t="str">
            <v>四川省达州市达川区石板后河村五社</v>
          </cell>
        </row>
        <row r="313">
          <cell r="R313" t="str">
            <v>51302119710920047642</v>
          </cell>
          <cell r="S313" t="str">
            <v>肢体</v>
          </cell>
          <cell r="T313" t="str">
            <v>二级</v>
          </cell>
          <cell r="U313" t="str">
            <v>肢体二级;</v>
          </cell>
        </row>
        <row r="314">
          <cell r="B314" t="str">
            <v>513021193701100978</v>
          </cell>
          <cell r="C314" t="str">
            <v>男</v>
          </cell>
          <cell r="D314" t="str">
            <v>汉族</v>
          </cell>
          <cell r="E314" t="str">
            <v>小学</v>
          </cell>
          <cell r="F314" t="str">
            <v>已婚</v>
          </cell>
          <cell r="G314" t="str">
            <v>农业</v>
          </cell>
        </row>
        <row r="314">
          <cell r="J314" t="str">
            <v>石板街道</v>
          </cell>
          <cell r="K314" t="str">
            <v>金刚村</v>
          </cell>
          <cell r="L314" t="str">
            <v>四川省达县石板镇金刚村2组</v>
          </cell>
          <cell r="M314" t="str">
            <v>四川省达县石板镇金刚村2组</v>
          </cell>
          <cell r="N314" t="str">
            <v>陈中英</v>
          </cell>
          <cell r="O314" t="str">
            <v>配偶</v>
          </cell>
        </row>
        <row r="314">
          <cell r="R314" t="str">
            <v>51302119370110097844</v>
          </cell>
          <cell r="S314" t="str">
            <v>肢体</v>
          </cell>
          <cell r="T314" t="str">
            <v>四级</v>
          </cell>
          <cell r="U314" t="str">
            <v>肢体四级;</v>
          </cell>
        </row>
        <row r="315">
          <cell r="B315" t="str">
            <v>513021195709220471</v>
          </cell>
          <cell r="C315" t="str">
            <v>男</v>
          </cell>
          <cell r="D315" t="str">
            <v>汉族</v>
          </cell>
          <cell r="E315" t="str">
            <v>小学</v>
          </cell>
          <cell r="F315" t="str">
            <v>已婚</v>
          </cell>
          <cell r="G315" t="str">
            <v>农业</v>
          </cell>
        </row>
        <row r="315">
          <cell r="I315" t="str">
            <v>15328246303</v>
          </cell>
          <cell r="J315" t="str">
            <v>石板街道</v>
          </cell>
          <cell r="K315" t="str">
            <v>金刚村</v>
          </cell>
          <cell r="L315" t="str">
            <v>四川省达州市达川区石板镇石河村１组</v>
          </cell>
          <cell r="M315" t="str">
            <v>四川省达州市达川区石板镇石河村１组</v>
          </cell>
        </row>
        <row r="315">
          <cell r="R315" t="str">
            <v>51302119570922047144</v>
          </cell>
          <cell r="S315" t="str">
            <v>肢体</v>
          </cell>
          <cell r="T315" t="str">
            <v>四级</v>
          </cell>
          <cell r="U315" t="str">
            <v>肢体四级;</v>
          </cell>
        </row>
        <row r="316">
          <cell r="B316" t="str">
            <v>513021197904250966</v>
          </cell>
          <cell r="C316" t="str">
            <v>女</v>
          </cell>
          <cell r="D316" t="str">
            <v>汉族</v>
          </cell>
          <cell r="E316" t="str">
            <v>初中</v>
          </cell>
          <cell r="F316" t="str">
            <v>已婚</v>
          </cell>
          <cell r="G316" t="str">
            <v>农业</v>
          </cell>
        </row>
        <row r="316">
          <cell r="I316" t="str">
            <v>18081515115</v>
          </cell>
          <cell r="J316" t="str">
            <v>石板街道</v>
          </cell>
          <cell r="K316" t="str">
            <v>金刚村</v>
          </cell>
          <cell r="L316" t="str">
            <v>四川省达州市达川区石板镇石河村5组</v>
          </cell>
          <cell r="M316" t="str">
            <v>四川省达州市达川区石板镇石河村5组</v>
          </cell>
        </row>
        <row r="316">
          <cell r="R316" t="str">
            <v>51302119790425096644</v>
          </cell>
          <cell r="S316" t="str">
            <v>肢体</v>
          </cell>
          <cell r="T316" t="str">
            <v>四级</v>
          </cell>
          <cell r="U316" t="str">
            <v>肢体四级;</v>
          </cell>
        </row>
        <row r="317">
          <cell r="B317" t="str">
            <v>513021199310140451</v>
          </cell>
          <cell r="C317" t="str">
            <v>男</v>
          </cell>
          <cell r="D317" t="str">
            <v>汉族</v>
          </cell>
          <cell r="E317" t="str">
            <v>小学</v>
          </cell>
          <cell r="F317" t="str">
            <v>未婚</v>
          </cell>
          <cell r="G317" t="str">
            <v>农业</v>
          </cell>
        </row>
        <row r="317">
          <cell r="I317" t="str">
            <v>15508245696</v>
          </cell>
          <cell r="J317" t="str">
            <v>石板街道</v>
          </cell>
          <cell r="K317" t="str">
            <v>金刚村</v>
          </cell>
          <cell r="L317" t="str">
            <v>四川省达州市达川区石板镇石河村1组</v>
          </cell>
          <cell r="M317" t="str">
            <v>四川省达州市达川区石板镇石河村1组</v>
          </cell>
          <cell r="N317" t="str">
            <v>刘继忠</v>
          </cell>
          <cell r="O317" t="str">
            <v>父母</v>
          </cell>
        </row>
        <row r="317">
          <cell r="Q317" t="str">
            <v>15892978550</v>
          </cell>
          <cell r="R317" t="str">
            <v>51302119931014045153</v>
          </cell>
          <cell r="S317" t="str">
            <v>智力</v>
          </cell>
          <cell r="T317" t="str">
            <v>三级</v>
          </cell>
          <cell r="U317" t="str">
            <v>智力三级;</v>
          </cell>
        </row>
        <row r="318">
          <cell r="B318" t="str">
            <v>513021196709130972</v>
          </cell>
          <cell r="C318" t="str">
            <v>男</v>
          </cell>
          <cell r="D318" t="str">
            <v>汉族</v>
          </cell>
          <cell r="E318" t="str">
            <v>初中</v>
          </cell>
          <cell r="F318" t="str">
            <v>未婚</v>
          </cell>
          <cell r="G318" t="str">
            <v>农业</v>
          </cell>
        </row>
        <row r="318">
          <cell r="I318" t="str">
            <v>13809622384</v>
          </cell>
          <cell r="J318" t="str">
            <v>石板街道</v>
          </cell>
          <cell r="K318" t="str">
            <v>金刚村</v>
          </cell>
          <cell r="L318" t="str">
            <v>四川省达州市达川区石板街道金刚村3组</v>
          </cell>
          <cell r="M318" t="str">
            <v>四川省达州市达川区石板街道金刚村3组</v>
          </cell>
        </row>
        <row r="318">
          <cell r="R318" t="str">
            <v>51302119670913097274</v>
          </cell>
          <cell r="S318" t="str">
            <v>多重</v>
          </cell>
          <cell r="T318" t="str">
            <v>四级</v>
          </cell>
          <cell r="U318" t="str">
            <v>视力四级;肢体四级;</v>
          </cell>
        </row>
        <row r="319">
          <cell r="B319" t="str">
            <v>513021195201100962</v>
          </cell>
          <cell r="C319" t="str">
            <v>女</v>
          </cell>
          <cell r="D319" t="str">
            <v>汉族</v>
          </cell>
          <cell r="E319" t="str">
            <v>小学</v>
          </cell>
          <cell r="F319" t="str">
            <v>丧偶</v>
          </cell>
          <cell r="G319" t="str">
            <v>农业</v>
          </cell>
        </row>
        <row r="319">
          <cell r="I319" t="str">
            <v>14781842041</v>
          </cell>
          <cell r="J319" t="str">
            <v>石板街道</v>
          </cell>
          <cell r="K319" t="str">
            <v>金刚村</v>
          </cell>
          <cell r="L319" t="str">
            <v>四川省达州市达川区石板街道金刚村1组</v>
          </cell>
          <cell r="M319" t="str">
            <v>四川省达州市达川区石板街道金刚村1组</v>
          </cell>
        </row>
        <row r="319">
          <cell r="R319" t="str">
            <v>51302119520110096242</v>
          </cell>
          <cell r="S319" t="str">
            <v>肢体</v>
          </cell>
          <cell r="T319" t="str">
            <v>二级</v>
          </cell>
          <cell r="U319" t="str">
            <v>肢体二级;</v>
          </cell>
        </row>
        <row r="320">
          <cell r="B320" t="str">
            <v>513021196012170456</v>
          </cell>
          <cell r="C320" t="str">
            <v>男</v>
          </cell>
          <cell r="D320" t="str">
            <v>汉族</v>
          </cell>
          <cell r="E320" t="str">
            <v>文盲</v>
          </cell>
          <cell r="F320" t="str">
            <v>未婚</v>
          </cell>
          <cell r="G320" t="str">
            <v>农业</v>
          </cell>
        </row>
        <row r="320">
          <cell r="I320" t="str">
            <v>13158706952</v>
          </cell>
          <cell r="J320" t="str">
            <v>石板街道</v>
          </cell>
          <cell r="K320" t="str">
            <v>金刚村</v>
          </cell>
          <cell r="L320" t="str">
            <v>四川省达州市达川区石板镇石河村3组</v>
          </cell>
          <cell r="M320" t="str">
            <v>四川省达州市达川区石板镇石河村3组</v>
          </cell>
        </row>
        <row r="320">
          <cell r="R320" t="str">
            <v>51302119601217045642</v>
          </cell>
          <cell r="S320" t="str">
            <v>肢体</v>
          </cell>
          <cell r="T320" t="str">
            <v>二级</v>
          </cell>
          <cell r="U320" t="str">
            <v>肢体二级;</v>
          </cell>
        </row>
        <row r="321">
          <cell r="B321" t="str">
            <v>513021197101010440</v>
          </cell>
          <cell r="C321" t="str">
            <v>女</v>
          </cell>
          <cell r="D321" t="str">
            <v>汉族</v>
          </cell>
          <cell r="E321" t="str">
            <v>初中</v>
          </cell>
          <cell r="F321" t="str">
            <v>已婚</v>
          </cell>
          <cell r="G321" t="str">
            <v>农业</v>
          </cell>
        </row>
        <row r="321">
          <cell r="I321" t="str">
            <v>000000000</v>
          </cell>
          <cell r="J321" t="str">
            <v>石板街道</v>
          </cell>
          <cell r="K321" t="str">
            <v>金刚村</v>
          </cell>
          <cell r="L321" t="str">
            <v>四川省达县石板镇石河村1组</v>
          </cell>
          <cell r="M321" t="str">
            <v>四川省达县石板镇石河村1组</v>
          </cell>
          <cell r="N321" t="str">
            <v>杨勇军</v>
          </cell>
          <cell r="O321" t="str">
            <v>配偶</v>
          </cell>
        </row>
        <row r="321">
          <cell r="R321" t="str">
            <v>51302119710101044014</v>
          </cell>
          <cell r="S321" t="str">
            <v>视力</v>
          </cell>
          <cell r="T321" t="str">
            <v>四级</v>
          </cell>
          <cell r="U321" t="str">
            <v>视力四级;</v>
          </cell>
        </row>
        <row r="322">
          <cell r="B322" t="str">
            <v>513021194701270963</v>
          </cell>
          <cell r="C322" t="str">
            <v>女</v>
          </cell>
          <cell r="D322" t="str">
            <v>汉族</v>
          </cell>
          <cell r="E322" t="str">
            <v>小学</v>
          </cell>
          <cell r="F322" t="str">
            <v>已婚</v>
          </cell>
          <cell r="G322" t="str">
            <v>农业</v>
          </cell>
        </row>
        <row r="322">
          <cell r="I322" t="str">
            <v>18780822142</v>
          </cell>
          <cell r="J322" t="str">
            <v>石板街道</v>
          </cell>
          <cell r="K322" t="str">
            <v>金刚村</v>
          </cell>
          <cell r="L322" t="str">
            <v>四川省达州市达川区石板街道金刚村1组</v>
          </cell>
          <cell r="M322" t="str">
            <v>四川省达州市达川区石板街道金刚村1组</v>
          </cell>
        </row>
        <row r="322">
          <cell r="R322" t="str">
            <v>51302119470127096313</v>
          </cell>
          <cell r="S322" t="str">
            <v>视力</v>
          </cell>
          <cell r="T322" t="str">
            <v>三级</v>
          </cell>
          <cell r="U322" t="str">
            <v>视力三级;</v>
          </cell>
        </row>
        <row r="323">
          <cell r="B323" t="str">
            <v>513021195405210442</v>
          </cell>
          <cell r="C323" t="str">
            <v>女</v>
          </cell>
          <cell r="D323" t="str">
            <v>汉族</v>
          </cell>
          <cell r="E323" t="str">
            <v>小学</v>
          </cell>
          <cell r="F323" t="str">
            <v>已婚</v>
          </cell>
          <cell r="G323" t="str">
            <v>农业</v>
          </cell>
        </row>
        <row r="323">
          <cell r="I323" t="str">
            <v>13882861091</v>
          </cell>
          <cell r="J323" t="str">
            <v>石板街道</v>
          </cell>
          <cell r="K323" t="str">
            <v>金刚村</v>
          </cell>
          <cell r="L323" t="str">
            <v>四川省达州市达川区石板镇石河村4组</v>
          </cell>
          <cell r="M323" t="str">
            <v>四川省达州市达川区石板镇石河村4组</v>
          </cell>
        </row>
        <row r="323">
          <cell r="R323" t="str">
            <v>51302119540521044244</v>
          </cell>
          <cell r="S323" t="str">
            <v>肢体</v>
          </cell>
          <cell r="T323" t="str">
            <v>四级</v>
          </cell>
          <cell r="U323" t="str">
            <v>肢体四级;</v>
          </cell>
        </row>
        <row r="324">
          <cell r="B324" t="str">
            <v>511721200206014588</v>
          </cell>
          <cell r="C324" t="str">
            <v>女</v>
          </cell>
          <cell r="D324" t="str">
            <v>汉族</v>
          </cell>
          <cell r="E324" t="str">
            <v>小学</v>
          </cell>
          <cell r="F324" t="str">
            <v>未婚</v>
          </cell>
          <cell r="G324" t="str">
            <v>农业</v>
          </cell>
        </row>
        <row r="324">
          <cell r="I324" t="str">
            <v>13547246662</v>
          </cell>
          <cell r="J324" t="str">
            <v>石板街道</v>
          </cell>
          <cell r="K324" t="str">
            <v>金刚村</v>
          </cell>
          <cell r="L324" t="str">
            <v>四川省达州市达川区石板镇金刚村1组</v>
          </cell>
          <cell r="M324" t="str">
            <v>四川省达州市达川区石板镇金刚村1组</v>
          </cell>
          <cell r="N324" t="str">
            <v>李祖军</v>
          </cell>
          <cell r="O324" t="str">
            <v>父母</v>
          </cell>
        </row>
        <row r="324">
          <cell r="Q324" t="str">
            <v>13108445749</v>
          </cell>
          <cell r="R324" t="str">
            <v>51172120020601458844</v>
          </cell>
          <cell r="S324" t="str">
            <v>肢体</v>
          </cell>
          <cell r="T324" t="str">
            <v>四级</v>
          </cell>
          <cell r="U324" t="str">
            <v>肢体四级;</v>
          </cell>
        </row>
        <row r="325">
          <cell r="B325" t="str">
            <v>513021194902150968</v>
          </cell>
          <cell r="C325" t="str">
            <v>女</v>
          </cell>
          <cell r="D325" t="str">
            <v>汉族</v>
          </cell>
          <cell r="E325" t="str">
            <v>小学</v>
          </cell>
          <cell r="F325" t="str">
            <v>已婚</v>
          </cell>
          <cell r="G325" t="str">
            <v>农业</v>
          </cell>
        </row>
        <row r="325">
          <cell r="I325" t="str">
            <v>15508238293</v>
          </cell>
          <cell r="J325" t="str">
            <v>石板街道</v>
          </cell>
          <cell r="K325" t="str">
            <v>金刚村</v>
          </cell>
          <cell r="L325" t="str">
            <v>四川省达州市达川区石板街道金刚村3组</v>
          </cell>
          <cell r="M325" t="str">
            <v>四川省达州市达川区石板街道金刚村3组</v>
          </cell>
        </row>
        <row r="325">
          <cell r="R325" t="str">
            <v>51302119490215096842</v>
          </cell>
          <cell r="S325" t="str">
            <v>肢体</v>
          </cell>
          <cell r="T325" t="str">
            <v>二级</v>
          </cell>
          <cell r="U325" t="str">
            <v>肢体二级;</v>
          </cell>
        </row>
        <row r="326">
          <cell r="B326" t="str">
            <v>513021196606053572</v>
          </cell>
          <cell r="C326" t="str">
            <v>男</v>
          </cell>
          <cell r="D326" t="str">
            <v>汉族</v>
          </cell>
          <cell r="E326" t="str">
            <v>初中</v>
          </cell>
          <cell r="F326" t="str">
            <v>已婚</v>
          </cell>
          <cell r="G326" t="str">
            <v>非农业</v>
          </cell>
        </row>
        <row r="326">
          <cell r="I326" t="str">
            <v>18180547935</v>
          </cell>
          <cell r="J326" t="str">
            <v>石板街道</v>
          </cell>
          <cell r="K326" t="str">
            <v>金刚村</v>
          </cell>
          <cell r="L326" t="str">
            <v>四川省达州市达川区石板镇石河村5组</v>
          </cell>
          <cell r="M326" t="str">
            <v>四川省达州市达川区石板镇石河村5组</v>
          </cell>
        </row>
        <row r="326">
          <cell r="R326" t="str">
            <v>51302119660605357243</v>
          </cell>
          <cell r="S326" t="str">
            <v>肢体</v>
          </cell>
          <cell r="T326" t="str">
            <v>三级</v>
          </cell>
          <cell r="U326" t="str">
            <v>肢体三级;</v>
          </cell>
        </row>
        <row r="327">
          <cell r="B327" t="str">
            <v>513021197611270453</v>
          </cell>
          <cell r="C327" t="str">
            <v>男</v>
          </cell>
          <cell r="D327" t="str">
            <v>汉族</v>
          </cell>
          <cell r="E327" t="str">
            <v>初中</v>
          </cell>
          <cell r="F327" t="str">
            <v>已婚</v>
          </cell>
          <cell r="G327" t="str">
            <v>非农业</v>
          </cell>
        </row>
        <row r="327">
          <cell r="I327" t="str">
            <v>13518233211</v>
          </cell>
          <cell r="J327" t="str">
            <v>石板街道</v>
          </cell>
          <cell r="K327" t="str">
            <v>金刚村</v>
          </cell>
          <cell r="L327" t="str">
            <v>四川省达州市达川区石板镇石河村11组</v>
          </cell>
          <cell r="M327" t="str">
            <v>四川省达州市达川区石板镇石河村11组</v>
          </cell>
        </row>
        <row r="327">
          <cell r="R327" t="str">
            <v>51302119761127045341</v>
          </cell>
          <cell r="S327" t="str">
            <v>肢体</v>
          </cell>
          <cell r="T327" t="str">
            <v>一级</v>
          </cell>
          <cell r="U327" t="str">
            <v>肢体一级;</v>
          </cell>
        </row>
        <row r="328">
          <cell r="B328" t="str">
            <v>513021195205050974</v>
          </cell>
          <cell r="C328" t="str">
            <v>男</v>
          </cell>
          <cell r="D328" t="str">
            <v>汉族</v>
          </cell>
          <cell r="E328" t="str">
            <v>初中</v>
          </cell>
          <cell r="F328" t="str">
            <v>已婚</v>
          </cell>
          <cell r="G328" t="str">
            <v>农业</v>
          </cell>
        </row>
        <row r="328">
          <cell r="I328" t="str">
            <v>18782810195</v>
          </cell>
          <cell r="J328" t="str">
            <v>石板街道</v>
          </cell>
          <cell r="K328" t="str">
            <v>金刚村</v>
          </cell>
          <cell r="L328" t="str">
            <v>四川省达州市达川区石板街道金刚村6组</v>
          </cell>
          <cell r="M328" t="str">
            <v>四川省达州市达川区石板街道金刚村6组</v>
          </cell>
        </row>
        <row r="328">
          <cell r="O328" t="str">
            <v>其他</v>
          </cell>
        </row>
        <row r="328">
          <cell r="R328" t="str">
            <v>51302119520505097414</v>
          </cell>
          <cell r="S328" t="str">
            <v>视力</v>
          </cell>
          <cell r="T328" t="str">
            <v>四级</v>
          </cell>
          <cell r="U328" t="str">
            <v>视力四级;</v>
          </cell>
        </row>
        <row r="329">
          <cell r="B329" t="str">
            <v>513021197304110548</v>
          </cell>
          <cell r="C329" t="str">
            <v>女</v>
          </cell>
          <cell r="D329" t="str">
            <v>汉族</v>
          </cell>
          <cell r="E329" t="str">
            <v>小学</v>
          </cell>
          <cell r="F329" t="str">
            <v>未婚</v>
          </cell>
          <cell r="G329" t="str">
            <v>农业</v>
          </cell>
        </row>
        <row r="329">
          <cell r="I329" t="str">
            <v>15775605506</v>
          </cell>
          <cell r="J329" t="str">
            <v>石板街道</v>
          </cell>
          <cell r="K329" t="str">
            <v>金刚村</v>
          </cell>
          <cell r="L329" t="str">
            <v>四川省达州市达川区石板镇石河村4组</v>
          </cell>
          <cell r="M329" t="str">
            <v>四川省达州市达川区石板镇石河村4组</v>
          </cell>
        </row>
        <row r="329">
          <cell r="R329" t="str">
            <v>51302119730411054844</v>
          </cell>
          <cell r="S329" t="str">
            <v>肢体</v>
          </cell>
          <cell r="T329" t="str">
            <v>四级</v>
          </cell>
          <cell r="U329" t="str">
            <v>肢体四级;</v>
          </cell>
        </row>
        <row r="330">
          <cell r="B330" t="str">
            <v>513021196602280495</v>
          </cell>
          <cell r="C330" t="str">
            <v>男</v>
          </cell>
          <cell r="D330" t="str">
            <v>汉族</v>
          </cell>
          <cell r="E330" t="str">
            <v>小学</v>
          </cell>
          <cell r="F330" t="str">
            <v>未婚</v>
          </cell>
          <cell r="G330" t="str">
            <v>农业</v>
          </cell>
        </row>
        <row r="330">
          <cell r="I330" t="str">
            <v>18398897940</v>
          </cell>
          <cell r="J330" t="str">
            <v>石板街道</v>
          </cell>
          <cell r="K330" t="str">
            <v>金刚村</v>
          </cell>
          <cell r="L330" t="str">
            <v>四川省达州市达川区石板镇石河村7组</v>
          </cell>
          <cell r="M330" t="str">
            <v>四川省达州市达川区石板镇石河村7组</v>
          </cell>
          <cell r="N330" t="str">
            <v>刘金秀</v>
          </cell>
          <cell r="O330" t="str">
            <v>父母</v>
          </cell>
        </row>
        <row r="330">
          <cell r="Q330" t="str">
            <v>13882847153</v>
          </cell>
          <cell r="R330" t="str">
            <v>51302119660228049552</v>
          </cell>
          <cell r="S330" t="str">
            <v>智力</v>
          </cell>
          <cell r="T330" t="str">
            <v>二级</v>
          </cell>
          <cell r="U330" t="str">
            <v>智力二级;</v>
          </cell>
        </row>
        <row r="331">
          <cell r="B331" t="str">
            <v>51302119580115047X</v>
          </cell>
          <cell r="C331" t="str">
            <v>男</v>
          </cell>
          <cell r="D331" t="str">
            <v>汉族</v>
          </cell>
          <cell r="E331" t="str">
            <v>小学</v>
          </cell>
          <cell r="F331" t="str">
            <v>已婚</v>
          </cell>
          <cell r="G331" t="str">
            <v>农业</v>
          </cell>
        </row>
        <row r="331">
          <cell r="I331" t="str">
            <v>18382163307</v>
          </cell>
          <cell r="J331" t="str">
            <v>石板街道</v>
          </cell>
          <cell r="K331" t="str">
            <v>金刚村</v>
          </cell>
          <cell r="L331" t="str">
            <v>四川省达州市达川区石板镇石河村1组</v>
          </cell>
          <cell r="M331" t="str">
            <v>四川省达州市达川区石板镇石河村1组</v>
          </cell>
        </row>
        <row r="331">
          <cell r="R331" t="str">
            <v>51302119580115047X44</v>
          </cell>
          <cell r="S331" t="str">
            <v>肢体</v>
          </cell>
          <cell r="T331" t="str">
            <v>四级</v>
          </cell>
          <cell r="U331" t="str">
            <v>肢体四级;</v>
          </cell>
        </row>
        <row r="332">
          <cell r="B332" t="str">
            <v>513021195410070448</v>
          </cell>
          <cell r="C332" t="str">
            <v>女</v>
          </cell>
          <cell r="D332" t="str">
            <v>汉族</v>
          </cell>
          <cell r="E332" t="str">
            <v>小学</v>
          </cell>
          <cell r="F332" t="str">
            <v>已婚</v>
          </cell>
          <cell r="G332" t="str">
            <v>农业</v>
          </cell>
        </row>
        <row r="332">
          <cell r="I332" t="str">
            <v>18384851242</v>
          </cell>
          <cell r="J332" t="str">
            <v>石板街道</v>
          </cell>
          <cell r="K332" t="str">
            <v>金刚村</v>
          </cell>
          <cell r="L332" t="str">
            <v>四川省达州市达川区石板镇石河村2组</v>
          </cell>
          <cell r="M332" t="str">
            <v>四川省达州市达川区石板镇石河村2组</v>
          </cell>
        </row>
        <row r="332">
          <cell r="R332" t="str">
            <v>51302119541007044844</v>
          </cell>
          <cell r="S332" t="str">
            <v>肢体</v>
          </cell>
          <cell r="T332" t="str">
            <v>四级</v>
          </cell>
          <cell r="U332" t="str">
            <v>肢体四级;</v>
          </cell>
        </row>
        <row r="333">
          <cell r="B333" t="str">
            <v>513021197903240977</v>
          </cell>
          <cell r="C333" t="str">
            <v>男</v>
          </cell>
          <cell r="D333" t="str">
            <v>汉族</v>
          </cell>
          <cell r="E333" t="str">
            <v>初中</v>
          </cell>
          <cell r="F333" t="str">
            <v>未婚</v>
          </cell>
          <cell r="G333" t="str">
            <v>农业</v>
          </cell>
        </row>
        <row r="333">
          <cell r="I333" t="str">
            <v>13330824982</v>
          </cell>
          <cell r="J333" t="str">
            <v>石板街道</v>
          </cell>
          <cell r="K333" t="str">
            <v>金刚村</v>
          </cell>
          <cell r="L333" t="str">
            <v>四川省达州市达川区石板镇金刚村2组</v>
          </cell>
          <cell r="M333" t="str">
            <v>四川省达州市达川区石板镇金刚村2组</v>
          </cell>
        </row>
        <row r="333">
          <cell r="R333" t="str">
            <v>51302119790324097744</v>
          </cell>
          <cell r="S333" t="str">
            <v>肢体</v>
          </cell>
          <cell r="T333" t="str">
            <v>四级</v>
          </cell>
          <cell r="U333" t="str">
            <v>肢体四级;</v>
          </cell>
        </row>
        <row r="334">
          <cell r="B334" t="str">
            <v>513021196812230998</v>
          </cell>
          <cell r="C334" t="str">
            <v>男</v>
          </cell>
          <cell r="D334" t="str">
            <v>汉族</v>
          </cell>
          <cell r="E334" t="str">
            <v>初中</v>
          </cell>
          <cell r="F334" t="str">
            <v>已婚</v>
          </cell>
          <cell r="G334" t="str">
            <v>农业</v>
          </cell>
        </row>
        <row r="334">
          <cell r="I334" t="str">
            <v>15968394249</v>
          </cell>
          <cell r="J334" t="str">
            <v>石板街道</v>
          </cell>
          <cell r="K334" t="str">
            <v>金刚村</v>
          </cell>
          <cell r="L334" t="str">
            <v>四川省达州市达川区石板镇金刚村1组</v>
          </cell>
          <cell r="M334" t="str">
            <v>四川省达州市达川区石板镇金刚村1组</v>
          </cell>
        </row>
        <row r="334">
          <cell r="R334" t="str">
            <v>51302119681223099844</v>
          </cell>
          <cell r="S334" t="str">
            <v>肢体</v>
          </cell>
          <cell r="T334" t="str">
            <v>四级</v>
          </cell>
          <cell r="U334" t="str">
            <v>肢体四级;</v>
          </cell>
        </row>
        <row r="335">
          <cell r="B335" t="str">
            <v>513021194209220972</v>
          </cell>
          <cell r="C335" t="str">
            <v>男</v>
          </cell>
          <cell r="D335" t="str">
            <v>汉族</v>
          </cell>
          <cell r="E335" t="str">
            <v>小学</v>
          </cell>
          <cell r="F335" t="str">
            <v>已婚</v>
          </cell>
          <cell r="G335" t="str">
            <v>农业</v>
          </cell>
        </row>
        <row r="335">
          <cell r="I335" t="str">
            <v>13884851130</v>
          </cell>
          <cell r="J335" t="str">
            <v>石板街道</v>
          </cell>
          <cell r="K335" t="str">
            <v>金刚村</v>
          </cell>
          <cell r="L335" t="str">
            <v>四川省达州市达川区石板镇金刚村4组</v>
          </cell>
          <cell r="M335" t="str">
            <v>四川省达州市达川区石板镇金刚村4组</v>
          </cell>
        </row>
        <row r="335">
          <cell r="R335" t="str">
            <v>51302119420922097244</v>
          </cell>
          <cell r="S335" t="str">
            <v>肢体</v>
          </cell>
          <cell r="T335" t="str">
            <v>四级</v>
          </cell>
          <cell r="U335" t="str">
            <v>肢体四级;</v>
          </cell>
        </row>
        <row r="336">
          <cell r="B336" t="str">
            <v>513021196903130458</v>
          </cell>
          <cell r="C336" t="str">
            <v>男</v>
          </cell>
          <cell r="D336" t="str">
            <v>汉族</v>
          </cell>
          <cell r="E336" t="str">
            <v>小学</v>
          </cell>
          <cell r="F336" t="str">
            <v>已婚</v>
          </cell>
          <cell r="G336" t="str">
            <v>非农业</v>
          </cell>
        </row>
        <row r="336">
          <cell r="I336" t="str">
            <v>13558545448</v>
          </cell>
          <cell r="J336" t="str">
            <v>石板街道</v>
          </cell>
          <cell r="K336" t="str">
            <v>金刚村</v>
          </cell>
          <cell r="L336" t="str">
            <v>四川省达州市达川区石板镇石河村4组</v>
          </cell>
          <cell r="M336" t="str">
            <v>四川省达州市达川区石板镇石河村4组</v>
          </cell>
          <cell r="N336" t="str">
            <v>陈先碧</v>
          </cell>
          <cell r="O336" t="str">
            <v>配偶</v>
          </cell>
        </row>
        <row r="336">
          <cell r="R336" t="str">
            <v>51302119690313045844</v>
          </cell>
          <cell r="S336" t="str">
            <v>肢体</v>
          </cell>
          <cell r="T336" t="str">
            <v>四级</v>
          </cell>
          <cell r="U336" t="str">
            <v>肢体四级;</v>
          </cell>
        </row>
        <row r="337">
          <cell r="B337" t="str">
            <v>513021197302250475</v>
          </cell>
          <cell r="C337" t="str">
            <v>男</v>
          </cell>
          <cell r="D337" t="str">
            <v>汉族</v>
          </cell>
          <cell r="E337" t="str">
            <v>初中</v>
          </cell>
          <cell r="F337" t="str">
            <v>已婚</v>
          </cell>
          <cell r="G337" t="str">
            <v>农业</v>
          </cell>
        </row>
        <row r="337">
          <cell r="I337" t="str">
            <v>17620136728</v>
          </cell>
          <cell r="J337" t="str">
            <v>石板街道</v>
          </cell>
          <cell r="K337" t="str">
            <v>金刚村</v>
          </cell>
          <cell r="L337" t="str">
            <v>四川省达州市达川区石板镇石河村1组</v>
          </cell>
          <cell r="M337" t="str">
            <v>四川省达州市达川区石板镇石河村1组</v>
          </cell>
        </row>
        <row r="337">
          <cell r="R337" t="str">
            <v>51302119730225047544</v>
          </cell>
          <cell r="S337" t="str">
            <v>肢体</v>
          </cell>
          <cell r="T337" t="str">
            <v>四级</v>
          </cell>
          <cell r="U337" t="str">
            <v>肢体四级;</v>
          </cell>
        </row>
        <row r="338">
          <cell r="B338" t="str">
            <v>513021194608290978</v>
          </cell>
          <cell r="C338" t="str">
            <v>男</v>
          </cell>
          <cell r="D338" t="str">
            <v>汉族</v>
          </cell>
          <cell r="E338" t="str">
            <v>小学</v>
          </cell>
          <cell r="F338" t="str">
            <v>已婚</v>
          </cell>
          <cell r="G338" t="str">
            <v>农业</v>
          </cell>
        </row>
        <row r="338">
          <cell r="J338" t="str">
            <v>石板街道</v>
          </cell>
          <cell r="K338" t="str">
            <v>金刚村</v>
          </cell>
          <cell r="L338" t="str">
            <v>四川省达县石板镇金刚村3组</v>
          </cell>
          <cell r="M338" t="str">
            <v>四川省达县石板镇金刚村3组</v>
          </cell>
          <cell r="N338" t="str">
            <v>杨仕碧</v>
          </cell>
          <cell r="O338" t="str">
            <v>配偶</v>
          </cell>
        </row>
        <row r="338">
          <cell r="R338" t="str">
            <v>51302119460829097844</v>
          </cell>
          <cell r="S338" t="str">
            <v>肢体</v>
          </cell>
          <cell r="T338" t="str">
            <v>四级</v>
          </cell>
          <cell r="U338" t="str">
            <v>肢体四级;</v>
          </cell>
        </row>
        <row r="339">
          <cell r="B339" t="str">
            <v>513021196311160477</v>
          </cell>
          <cell r="C339" t="str">
            <v>男</v>
          </cell>
          <cell r="D339" t="str">
            <v>汉族</v>
          </cell>
          <cell r="E339" t="str">
            <v>小学</v>
          </cell>
          <cell r="F339" t="str">
            <v>已婚</v>
          </cell>
          <cell r="G339" t="str">
            <v>农业</v>
          </cell>
        </row>
        <row r="339">
          <cell r="I339" t="str">
            <v>18319249891</v>
          </cell>
          <cell r="J339" t="str">
            <v>石板街道</v>
          </cell>
          <cell r="K339" t="str">
            <v>金刚村</v>
          </cell>
          <cell r="L339" t="str">
            <v>四川省达州市达川区石板镇石河村5组</v>
          </cell>
          <cell r="M339" t="str">
            <v>四川省达州市达川区石板镇石河村5组</v>
          </cell>
        </row>
        <row r="339">
          <cell r="R339" t="str">
            <v>51302119631116047713</v>
          </cell>
          <cell r="S339" t="str">
            <v>视力</v>
          </cell>
          <cell r="T339" t="str">
            <v>三级</v>
          </cell>
          <cell r="U339" t="str">
            <v>视力三级;</v>
          </cell>
        </row>
        <row r="340">
          <cell r="B340" t="str">
            <v>513021194311060960</v>
          </cell>
          <cell r="C340" t="str">
            <v>女</v>
          </cell>
          <cell r="D340" t="str">
            <v>汉族</v>
          </cell>
          <cell r="E340" t="str">
            <v>小学</v>
          </cell>
          <cell r="F340" t="str">
            <v>丧偶</v>
          </cell>
          <cell r="G340" t="str">
            <v>农业</v>
          </cell>
        </row>
        <row r="340">
          <cell r="I340" t="str">
            <v>15984779876</v>
          </cell>
          <cell r="J340" t="str">
            <v>石板街道</v>
          </cell>
          <cell r="K340" t="str">
            <v>金刚村</v>
          </cell>
          <cell r="L340" t="str">
            <v>四川省达州市达川区石板街道金刚村7组</v>
          </cell>
          <cell r="M340" t="str">
            <v>四川省达州市达川区石板街道金刚村7组</v>
          </cell>
          <cell r="N340" t="str">
            <v>邓正伟</v>
          </cell>
          <cell r="O340" t="str">
            <v>子</v>
          </cell>
        </row>
        <row r="340">
          <cell r="Q340" t="str">
            <v>15984779876</v>
          </cell>
          <cell r="R340" t="str">
            <v>51302119431106096063</v>
          </cell>
          <cell r="S340" t="str">
            <v>精神</v>
          </cell>
          <cell r="T340" t="str">
            <v>三级</v>
          </cell>
          <cell r="U340" t="str">
            <v>精神三级;</v>
          </cell>
        </row>
        <row r="341">
          <cell r="B341" t="str">
            <v>513021195011120970</v>
          </cell>
          <cell r="C341" t="str">
            <v>男</v>
          </cell>
          <cell r="D341" t="str">
            <v>汉族</v>
          </cell>
          <cell r="E341" t="str">
            <v>小学</v>
          </cell>
          <cell r="F341" t="str">
            <v>已婚</v>
          </cell>
          <cell r="G341" t="str">
            <v>农业</v>
          </cell>
        </row>
        <row r="341">
          <cell r="I341" t="str">
            <v>13158706986</v>
          </cell>
          <cell r="J341" t="str">
            <v>石板街道</v>
          </cell>
          <cell r="K341" t="str">
            <v>金刚村</v>
          </cell>
          <cell r="L341" t="str">
            <v>四川省达州市达川区石板街道金刚村5组</v>
          </cell>
          <cell r="M341" t="str">
            <v>四川省达州市达川区石板街道金刚村5组</v>
          </cell>
        </row>
        <row r="341">
          <cell r="R341" t="str">
            <v>51302119501112097044</v>
          </cell>
          <cell r="S341" t="str">
            <v>肢体</v>
          </cell>
          <cell r="T341" t="str">
            <v>四级</v>
          </cell>
          <cell r="U341" t="str">
            <v>肢体四级;</v>
          </cell>
        </row>
        <row r="342">
          <cell r="B342" t="str">
            <v>513021197003250459</v>
          </cell>
          <cell r="C342" t="str">
            <v>男</v>
          </cell>
          <cell r="D342" t="str">
            <v>汉族</v>
          </cell>
          <cell r="E342" t="str">
            <v>初中</v>
          </cell>
          <cell r="F342" t="str">
            <v>已婚</v>
          </cell>
          <cell r="G342" t="str">
            <v>农业</v>
          </cell>
        </row>
        <row r="342">
          <cell r="I342" t="str">
            <v>15984764965</v>
          </cell>
          <cell r="J342" t="str">
            <v>石板街道</v>
          </cell>
          <cell r="K342" t="str">
            <v>金刚村</v>
          </cell>
          <cell r="L342" t="str">
            <v>四川省达县石板镇石河村7组</v>
          </cell>
          <cell r="M342" t="str">
            <v>四川省达县石板镇石河村7组</v>
          </cell>
          <cell r="N342" t="str">
            <v>王小琴</v>
          </cell>
          <cell r="O342" t="str">
            <v>配偶</v>
          </cell>
        </row>
        <row r="342">
          <cell r="Q342" t="str">
            <v>0818-2129560</v>
          </cell>
          <cell r="R342" t="str">
            <v>51302119700325045944</v>
          </cell>
          <cell r="S342" t="str">
            <v>肢体</v>
          </cell>
          <cell r="T342" t="str">
            <v>四级</v>
          </cell>
          <cell r="U342" t="str">
            <v>肢体四级;</v>
          </cell>
        </row>
        <row r="343">
          <cell r="B343" t="str">
            <v>513021199506260973</v>
          </cell>
          <cell r="C343" t="str">
            <v>男</v>
          </cell>
          <cell r="D343" t="str">
            <v>汉族</v>
          </cell>
          <cell r="E343" t="str">
            <v>小学</v>
          </cell>
          <cell r="F343" t="str">
            <v>未婚</v>
          </cell>
          <cell r="G343" t="str">
            <v>农业</v>
          </cell>
        </row>
        <row r="343">
          <cell r="I343" t="str">
            <v>15883723743</v>
          </cell>
          <cell r="J343" t="str">
            <v>石板街道</v>
          </cell>
          <cell r="K343" t="str">
            <v>金刚村</v>
          </cell>
          <cell r="L343" t="str">
            <v>四川省达州市达川区石板镇金刚村3组</v>
          </cell>
          <cell r="M343" t="str">
            <v>四川省达州市达川区石板镇金刚村3组</v>
          </cell>
          <cell r="N343" t="str">
            <v>唐中兵</v>
          </cell>
          <cell r="O343" t="str">
            <v>父母</v>
          </cell>
        </row>
        <row r="343">
          <cell r="Q343" t="str">
            <v>15883723743</v>
          </cell>
          <cell r="R343" t="str">
            <v>51302119950626097351</v>
          </cell>
          <cell r="S343" t="str">
            <v>智力</v>
          </cell>
          <cell r="T343" t="str">
            <v>一级</v>
          </cell>
          <cell r="U343" t="str">
            <v>智力一级;</v>
          </cell>
        </row>
        <row r="344">
          <cell r="B344" t="str">
            <v>513021194002250963</v>
          </cell>
          <cell r="C344" t="str">
            <v>女</v>
          </cell>
          <cell r="D344" t="str">
            <v>汉族</v>
          </cell>
          <cell r="E344" t="str">
            <v>小学</v>
          </cell>
          <cell r="F344" t="str">
            <v>丧偶</v>
          </cell>
          <cell r="G344" t="str">
            <v>农业</v>
          </cell>
        </row>
        <row r="344">
          <cell r="I344" t="str">
            <v>15882958925</v>
          </cell>
          <cell r="J344" t="str">
            <v>石板街道</v>
          </cell>
          <cell r="K344" t="str">
            <v>金刚村</v>
          </cell>
          <cell r="L344" t="str">
            <v>四川省达州市达川区石板街道金刚村2组</v>
          </cell>
          <cell r="M344" t="str">
            <v>四川省达州市达川区石板街道金刚村2组</v>
          </cell>
        </row>
        <row r="344">
          <cell r="R344" t="str">
            <v>51302119400225096314</v>
          </cell>
          <cell r="S344" t="str">
            <v>视力</v>
          </cell>
          <cell r="T344" t="str">
            <v>四级</v>
          </cell>
          <cell r="U344" t="str">
            <v>视力四级;</v>
          </cell>
        </row>
        <row r="345">
          <cell r="B345" t="str">
            <v>513021195212170966</v>
          </cell>
          <cell r="C345" t="str">
            <v>女</v>
          </cell>
          <cell r="D345" t="str">
            <v>汉族</v>
          </cell>
          <cell r="E345" t="str">
            <v>小学</v>
          </cell>
          <cell r="F345" t="str">
            <v>丧偶</v>
          </cell>
          <cell r="G345" t="str">
            <v>农业</v>
          </cell>
        </row>
        <row r="345">
          <cell r="I345" t="str">
            <v>13568172325</v>
          </cell>
          <cell r="J345" t="str">
            <v>石板街道</v>
          </cell>
          <cell r="K345" t="str">
            <v>金刚村</v>
          </cell>
          <cell r="L345" t="str">
            <v>四川省达州市达川区石板街道金刚村4组</v>
          </cell>
          <cell r="M345" t="str">
            <v>四川省达州市达川区石板街道金刚村4组</v>
          </cell>
        </row>
        <row r="345">
          <cell r="R345" t="str">
            <v>51302119521217096611</v>
          </cell>
          <cell r="S345" t="str">
            <v>视力</v>
          </cell>
          <cell r="T345" t="str">
            <v>一级</v>
          </cell>
          <cell r="U345" t="str">
            <v>视力一级;</v>
          </cell>
        </row>
        <row r="346">
          <cell r="B346" t="str">
            <v>513021196807220453</v>
          </cell>
          <cell r="C346" t="str">
            <v>男</v>
          </cell>
          <cell r="D346" t="str">
            <v>汉族</v>
          </cell>
          <cell r="E346" t="str">
            <v>小学</v>
          </cell>
          <cell r="F346" t="str">
            <v>已婚</v>
          </cell>
          <cell r="G346" t="str">
            <v>农业</v>
          </cell>
        </row>
        <row r="346">
          <cell r="I346" t="str">
            <v>15808194094</v>
          </cell>
          <cell r="J346" t="str">
            <v>石板街道</v>
          </cell>
          <cell r="K346" t="str">
            <v>金刚村</v>
          </cell>
          <cell r="L346" t="str">
            <v>四川省达州市达川区石板街道金刚村1组</v>
          </cell>
          <cell r="M346" t="str">
            <v>四川省达州市达川区石板街道金刚村1组</v>
          </cell>
        </row>
        <row r="346">
          <cell r="R346" t="str">
            <v>51302119680722045344</v>
          </cell>
          <cell r="S346" t="str">
            <v>肢体</v>
          </cell>
          <cell r="T346" t="str">
            <v>四级</v>
          </cell>
          <cell r="U346" t="str">
            <v>肢体四级;</v>
          </cell>
        </row>
        <row r="347">
          <cell r="B347" t="str">
            <v>513021193004220974</v>
          </cell>
          <cell r="C347" t="str">
            <v>男</v>
          </cell>
          <cell r="D347" t="str">
            <v>汉族</v>
          </cell>
          <cell r="E347" t="str">
            <v>小学</v>
          </cell>
          <cell r="F347" t="str">
            <v>已婚</v>
          </cell>
          <cell r="G347" t="str">
            <v>农业</v>
          </cell>
        </row>
        <row r="347">
          <cell r="I347" t="str">
            <v>13404036149</v>
          </cell>
          <cell r="J347" t="str">
            <v>石板街道</v>
          </cell>
          <cell r="K347" t="str">
            <v>金刚村</v>
          </cell>
          <cell r="L347" t="str">
            <v>四川省达州市达川区石板镇金刚村7组</v>
          </cell>
          <cell r="M347" t="str">
            <v>四川省达州市达川区石板镇金刚村7组</v>
          </cell>
        </row>
        <row r="347">
          <cell r="R347" t="str">
            <v>51302119300422097422</v>
          </cell>
          <cell r="S347" t="str">
            <v>听力</v>
          </cell>
          <cell r="T347" t="str">
            <v>二级</v>
          </cell>
          <cell r="U347" t="str">
            <v>听力二级;</v>
          </cell>
        </row>
        <row r="348">
          <cell r="B348" t="str">
            <v>51302119520211096X</v>
          </cell>
          <cell r="C348" t="str">
            <v>女</v>
          </cell>
          <cell r="D348" t="str">
            <v>汉族</v>
          </cell>
          <cell r="E348" t="str">
            <v>小学</v>
          </cell>
          <cell r="F348" t="str">
            <v>已婚</v>
          </cell>
          <cell r="G348" t="str">
            <v>农业</v>
          </cell>
        </row>
        <row r="348">
          <cell r="I348" t="str">
            <v>000000000</v>
          </cell>
          <cell r="J348" t="str">
            <v>石板街道</v>
          </cell>
          <cell r="K348" t="str">
            <v>金刚村</v>
          </cell>
          <cell r="L348" t="str">
            <v>四川省达州市达川区石板镇金刚村2组</v>
          </cell>
          <cell r="M348" t="str">
            <v>四川省达州市达川区石板镇金刚村2组</v>
          </cell>
        </row>
        <row r="348">
          <cell r="R348" t="str">
            <v>51302119520211096X44</v>
          </cell>
          <cell r="S348" t="str">
            <v>肢体</v>
          </cell>
          <cell r="T348" t="str">
            <v>四级</v>
          </cell>
          <cell r="U348" t="str">
            <v>肢体四级;</v>
          </cell>
        </row>
        <row r="349">
          <cell r="B349" t="str">
            <v>513022196601248211</v>
          </cell>
          <cell r="C349" t="str">
            <v>男</v>
          </cell>
          <cell r="D349" t="str">
            <v>汉族</v>
          </cell>
          <cell r="E349" t="str">
            <v>初中</v>
          </cell>
          <cell r="F349" t="str">
            <v>已婚</v>
          </cell>
          <cell r="G349" t="str">
            <v>农业</v>
          </cell>
        </row>
        <row r="349">
          <cell r="I349" t="str">
            <v>13404030461</v>
          </cell>
          <cell r="J349" t="str">
            <v>石板街道</v>
          </cell>
          <cell r="K349" t="str">
            <v>金刚村</v>
          </cell>
          <cell r="L349" t="str">
            <v>四川省达州市达川区石板镇石河村2组</v>
          </cell>
          <cell r="M349" t="str">
            <v>四川省达州市达川区石板镇石河村2组</v>
          </cell>
        </row>
        <row r="349">
          <cell r="R349" t="str">
            <v>51302219660124821124</v>
          </cell>
          <cell r="S349" t="str">
            <v>听力</v>
          </cell>
          <cell r="T349" t="str">
            <v>四级</v>
          </cell>
          <cell r="U349" t="str">
            <v>听力四级;</v>
          </cell>
        </row>
        <row r="350">
          <cell r="B350" t="str">
            <v>513021194912240457</v>
          </cell>
          <cell r="C350" t="str">
            <v>男</v>
          </cell>
          <cell r="D350" t="str">
            <v>汉族</v>
          </cell>
          <cell r="E350" t="str">
            <v>小学</v>
          </cell>
          <cell r="F350" t="str">
            <v>已婚</v>
          </cell>
          <cell r="G350" t="str">
            <v>农业</v>
          </cell>
        </row>
        <row r="350">
          <cell r="I350" t="str">
            <v>18384818205</v>
          </cell>
          <cell r="J350" t="str">
            <v>石板街道</v>
          </cell>
          <cell r="K350" t="str">
            <v>金刚村</v>
          </cell>
          <cell r="L350" t="str">
            <v>四川省达州市达川区石板镇石河村4组</v>
          </cell>
          <cell r="M350" t="str">
            <v>四川省达州市达川区石板镇石河村4组</v>
          </cell>
        </row>
        <row r="350">
          <cell r="R350" t="str">
            <v>51302119491224045744</v>
          </cell>
          <cell r="S350" t="str">
            <v>肢体</v>
          </cell>
          <cell r="T350" t="str">
            <v>四级</v>
          </cell>
          <cell r="U350" t="str">
            <v>肢体四级;</v>
          </cell>
        </row>
        <row r="351">
          <cell r="B351" t="str">
            <v>513021196801080963</v>
          </cell>
          <cell r="C351" t="str">
            <v>女</v>
          </cell>
          <cell r="D351" t="str">
            <v>汉族</v>
          </cell>
          <cell r="E351" t="str">
            <v>小学</v>
          </cell>
          <cell r="F351" t="str">
            <v>已婚</v>
          </cell>
          <cell r="G351" t="str">
            <v>农业</v>
          </cell>
        </row>
        <row r="351">
          <cell r="I351" t="str">
            <v>15082881250</v>
          </cell>
          <cell r="J351" t="str">
            <v>石板街道</v>
          </cell>
          <cell r="K351" t="str">
            <v>金刚村</v>
          </cell>
          <cell r="L351" t="str">
            <v>四川省达州市达川区石板镇金刚村4组</v>
          </cell>
          <cell r="M351" t="str">
            <v>四川省达州市达川区石板镇金刚村4组</v>
          </cell>
        </row>
        <row r="351">
          <cell r="R351" t="str">
            <v>51302119680108096344</v>
          </cell>
          <cell r="S351" t="str">
            <v>肢体</v>
          </cell>
          <cell r="T351" t="str">
            <v>四级</v>
          </cell>
          <cell r="U351" t="str">
            <v>肢体四级;</v>
          </cell>
        </row>
        <row r="352">
          <cell r="B352" t="str">
            <v>513021195212290458</v>
          </cell>
          <cell r="C352" t="str">
            <v>男</v>
          </cell>
          <cell r="D352" t="str">
            <v>汉族</v>
          </cell>
          <cell r="E352" t="str">
            <v>小学</v>
          </cell>
          <cell r="F352" t="str">
            <v>已婚</v>
          </cell>
          <cell r="G352" t="str">
            <v>农业</v>
          </cell>
        </row>
        <row r="352">
          <cell r="I352" t="str">
            <v>15680198193</v>
          </cell>
          <cell r="J352" t="str">
            <v>石板街道</v>
          </cell>
          <cell r="K352" t="str">
            <v>金刚村</v>
          </cell>
          <cell r="L352" t="str">
            <v>四川省达州市达川区石板镇石河村2组</v>
          </cell>
          <cell r="M352" t="str">
            <v>四川省达州市达川区石板镇石河村2组</v>
          </cell>
        </row>
        <row r="352">
          <cell r="R352" t="str">
            <v>51302119521229045871</v>
          </cell>
          <cell r="S352" t="str">
            <v>多重</v>
          </cell>
          <cell r="T352" t="str">
            <v>一级</v>
          </cell>
          <cell r="U352" t="str">
            <v>听力一级;言语一级;</v>
          </cell>
        </row>
        <row r="353">
          <cell r="B353" t="str">
            <v>513021195108120475</v>
          </cell>
          <cell r="C353" t="str">
            <v>男</v>
          </cell>
          <cell r="D353" t="str">
            <v>汉族</v>
          </cell>
          <cell r="E353" t="str">
            <v>小学</v>
          </cell>
          <cell r="F353" t="str">
            <v>已婚</v>
          </cell>
          <cell r="G353" t="str">
            <v>农业</v>
          </cell>
        </row>
        <row r="353">
          <cell r="I353" t="str">
            <v>15158878173</v>
          </cell>
          <cell r="J353" t="str">
            <v>石板街道</v>
          </cell>
          <cell r="K353" t="str">
            <v>金刚村</v>
          </cell>
          <cell r="L353" t="str">
            <v>四川省达州市达川区石板镇石河村2组</v>
          </cell>
          <cell r="M353" t="str">
            <v>四川省达州市达川区石板镇石河村2组</v>
          </cell>
        </row>
        <row r="353">
          <cell r="R353" t="str">
            <v>51302119510812047523</v>
          </cell>
          <cell r="S353" t="str">
            <v>听力</v>
          </cell>
          <cell r="T353" t="str">
            <v>三级</v>
          </cell>
          <cell r="U353" t="str">
            <v>听力三级;</v>
          </cell>
        </row>
        <row r="354">
          <cell r="B354" t="str">
            <v>513021196312220443</v>
          </cell>
          <cell r="C354" t="str">
            <v>女</v>
          </cell>
          <cell r="D354" t="str">
            <v>汉族</v>
          </cell>
          <cell r="E354" t="str">
            <v>小学</v>
          </cell>
          <cell r="F354" t="str">
            <v>已婚</v>
          </cell>
          <cell r="G354" t="str">
            <v>农业</v>
          </cell>
        </row>
        <row r="354">
          <cell r="I354" t="str">
            <v>18000592998</v>
          </cell>
          <cell r="J354" t="str">
            <v>石板街道</v>
          </cell>
          <cell r="K354" t="str">
            <v>金刚村</v>
          </cell>
          <cell r="L354" t="str">
            <v>四川省达州市达川区石板镇石河村1组</v>
          </cell>
          <cell r="M354" t="str">
            <v>四川省达州市达川区石板镇石河村1组</v>
          </cell>
          <cell r="N354" t="str">
            <v>唐天凡</v>
          </cell>
          <cell r="O354" t="str">
            <v>配偶</v>
          </cell>
        </row>
        <row r="354">
          <cell r="Q354" t="str">
            <v>15881825488</v>
          </cell>
          <cell r="R354" t="str">
            <v>51302119631222044363</v>
          </cell>
          <cell r="S354" t="str">
            <v>精神</v>
          </cell>
          <cell r="T354" t="str">
            <v>三级</v>
          </cell>
          <cell r="U354" t="str">
            <v>精神三级;</v>
          </cell>
        </row>
        <row r="355">
          <cell r="B355" t="str">
            <v>513021194711130470</v>
          </cell>
          <cell r="C355" t="str">
            <v>男</v>
          </cell>
          <cell r="D355" t="str">
            <v>汉族</v>
          </cell>
          <cell r="E355" t="str">
            <v>小学</v>
          </cell>
          <cell r="F355" t="str">
            <v>已婚</v>
          </cell>
          <cell r="G355" t="str">
            <v>农业</v>
          </cell>
        </row>
        <row r="355">
          <cell r="I355" t="str">
            <v>15181468298</v>
          </cell>
          <cell r="J355" t="str">
            <v>石板街道</v>
          </cell>
          <cell r="K355" t="str">
            <v>金刚村</v>
          </cell>
          <cell r="L355" t="str">
            <v>四川省达州市达川区石板镇石河村1组</v>
          </cell>
          <cell r="M355" t="str">
            <v>四川省达州市达川区石板镇石河村1组</v>
          </cell>
        </row>
        <row r="355">
          <cell r="R355" t="str">
            <v>51302119471113047023</v>
          </cell>
          <cell r="S355" t="str">
            <v>听力</v>
          </cell>
          <cell r="T355" t="str">
            <v>三级</v>
          </cell>
          <cell r="U355" t="str">
            <v>听力三级;</v>
          </cell>
        </row>
        <row r="356">
          <cell r="B356" t="str">
            <v>513021194610130447</v>
          </cell>
          <cell r="C356" t="str">
            <v>女</v>
          </cell>
          <cell r="D356" t="str">
            <v>汉族</v>
          </cell>
          <cell r="E356" t="str">
            <v>文盲</v>
          </cell>
          <cell r="F356" t="str">
            <v>已婚</v>
          </cell>
          <cell r="G356" t="str">
            <v>农业</v>
          </cell>
        </row>
        <row r="356">
          <cell r="I356" t="str">
            <v>0000000</v>
          </cell>
          <cell r="J356" t="str">
            <v>石板街道</v>
          </cell>
          <cell r="K356" t="str">
            <v>金刚村</v>
          </cell>
          <cell r="L356" t="str">
            <v>四川省达州市达川区石板镇石河村2组</v>
          </cell>
          <cell r="M356" t="str">
            <v>四川省达县石板镇石河村2组</v>
          </cell>
          <cell r="N356" t="str">
            <v>李明碧</v>
          </cell>
          <cell r="O356" t="str">
            <v>女</v>
          </cell>
        </row>
        <row r="356">
          <cell r="Q356" t="str">
            <v>15196854636</v>
          </cell>
          <cell r="R356" t="str">
            <v>51302119461013044742</v>
          </cell>
          <cell r="S356" t="str">
            <v>肢体</v>
          </cell>
          <cell r="T356" t="str">
            <v>二级</v>
          </cell>
          <cell r="U356" t="str">
            <v>肢体二级;</v>
          </cell>
        </row>
        <row r="357">
          <cell r="B357" t="str">
            <v>51302119520713045X</v>
          </cell>
          <cell r="C357" t="str">
            <v>男</v>
          </cell>
          <cell r="D357" t="str">
            <v>汉族</v>
          </cell>
          <cell r="E357" t="str">
            <v>小学</v>
          </cell>
          <cell r="F357" t="str">
            <v>已婚</v>
          </cell>
          <cell r="G357" t="str">
            <v>农业</v>
          </cell>
        </row>
        <row r="357">
          <cell r="I357" t="str">
            <v>18782885110</v>
          </cell>
          <cell r="J357" t="str">
            <v>石板街道</v>
          </cell>
          <cell r="K357" t="str">
            <v>金刚村</v>
          </cell>
          <cell r="L357" t="str">
            <v>四川省达州市达川区石板镇石河村1组</v>
          </cell>
          <cell r="M357" t="str">
            <v>四川省达县石板镇石河村1组</v>
          </cell>
        </row>
        <row r="357">
          <cell r="R357" t="str">
            <v>51302119520713045X14</v>
          </cell>
          <cell r="S357" t="str">
            <v>视力</v>
          </cell>
          <cell r="T357" t="str">
            <v>四级</v>
          </cell>
          <cell r="U357" t="str">
            <v>视力四级;</v>
          </cell>
        </row>
        <row r="358">
          <cell r="B358" t="str">
            <v>513021195102190966</v>
          </cell>
          <cell r="C358" t="str">
            <v>女</v>
          </cell>
          <cell r="D358" t="str">
            <v>汉族</v>
          </cell>
          <cell r="E358" t="str">
            <v>小学</v>
          </cell>
          <cell r="F358" t="str">
            <v>已婚</v>
          </cell>
          <cell r="G358" t="str">
            <v>农业</v>
          </cell>
        </row>
        <row r="358">
          <cell r="I358" t="str">
            <v>19119084029</v>
          </cell>
          <cell r="J358" t="str">
            <v>石板街道</v>
          </cell>
          <cell r="K358" t="str">
            <v>金刚村</v>
          </cell>
          <cell r="L358" t="str">
            <v>四川省达州市达川区石板街道金刚村3组</v>
          </cell>
          <cell r="M358" t="str">
            <v>四川省达州市达川区石板街道金刚村3组</v>
          </cell>
        </row>
        <row r="358">
          <cell r="R358" t="str">
            <v>51302119510219096643B1</v>
          </cell>
          <cell r="S358" t="str">
            <v>肢体</v>
          </cell>
          <cell r="T358" t="str">
            <v>三级</v>
          </cell>
          <cell r="U358" t="str">
            <v>肢体三级;</v>
          </cell>
        </row>
        <row r="359">
          <cell r="B359" t="str">
            <v>51302119440705045X</v>
          </cell>
          <cell r="C359" t="str">
            <v>男</v>
          </cell>
          <cell r="D359" t="str">
            <v>汉族</v>
          </cell>
          <cell r="E359" t="str">
            <v>小学</v>
          </cell>
          <cell r="F359" t="str">
            <v>已婚</v>
          </cell>
          <cell r="G359" t="str">
            <v>农业</v>
          </cell>
        </row>
        <row r="359">
          <cell r="I359" t="str">
            <v>13158426862</v>
          </cell>
          <cell r="J359" t="str">
            <v>石板街道</v>
          </cell>
          <cell r="K359" t="str">
            <v>金刚村</v>
          </cell>
          <cell r="L359" t="str">
            <v>四川省达州市达川区石板镇石河村2组</v>
          </cell>
          <cell r="M359" t="str">
            <v>四川省达州市达川区石板镇石河村2组</v>
          </cell>
        </row>
        <row r="359">
          <cell r="R359" t="str">
            <v>51302119440705045X24</v>
          </cell>
          <cell r="S359" t="str">
            <v>听力</v>
          </cell>
          <cell r="T359" t="str">
            <v>四级</v>
          </cell>
          <cell r="U359" t="str">
            <v>听力四级;</v>
          </cell>
        </row>
        <row r="360">
          <cell r="B360" t="str">
            <v>513021194301180440</v>
          </cell>
          <cell r="C360" t="str">
            <v>女</v>
          </cell>
          <cell r="D360" t="str">
            <v>汉族</v>
          </cell>
          <cell r="E360" t="str">
            <v>小学</v>
          </cell>
          <cell r="F360" t="str">
            <v>已婚</v>
          </cell>
          <cell r="G360" t="str">
            <v>农业</v>
          </cell>
        </row>
        <row r="360">
          <cell r="I360" t="str">
            <v>15508203461</v>
          </cell>
          <cell r="J360" t="str">
            <v>石板街道</v>
          </cell>
          <cell r="K360" t="str">
            <v>金刚村</v>
          </cell>
          <cell r="L360" t="str">
            <v>四川省达州市达川区石板镇石河村1组</v>
          </cell>
          <cell r="M360" t="str">
            <v>四川省达州市达川区石板镇石河村1组</v>
          </cell>
        </row>
        <row r="360">
          <cell r="R360" t="str">
            <v>51302119430118044044</v>
          </cell>
          <cell r="S360" t="str">
            <v>肢体</v>
          </cell>
          <cell r="T360" t="str">
            <v>四级</v>
          </cell>
          <cell r="U360" t="str">
            <v>肢体四级;</v>
          </cell>
        </row>
        <row r="361">
          <cell r="B361" t="str">
            <v>513021196302250454</v>
          </cell>
          <cell r="C361" t="str">
            <v>男</v>
          </cell>
          <cell r="D361" t="str">
            <v>汉族</v>
          </cell>
          <cell r="E361" t="str">
            <v>初中</v>
          </cell>
          <cell r="F361" t="str">
            <v>未婚</v>
          </cell>
          <cell r="G361" t="str">
            <v>农业</v>
          </cell>
        </row>
        <row r="361">
          <cell r="I361" t="str">
            <v>14781886926</v>
          </cell>
          <cell r="J361" t="str">
            <v>石板街道</v>
          </cell>
          <cell r="K361" t="str">
            <v>金刚村</v>
          </cell>
          <cell r="L361" t="str">
            <v>四川省达州市达川区石板镇石河村2组146号</v>
          </cell>
          <cell r="M361" t="str">
            <v>四川省达州市达川区石板镇石河村2组146号</v>
          </cell>
        </row>
        <row r="361">
          <cell r="R361" t="str">
            <v>51302119630225045423</v>
          </cell>
          <cell r="S361" t="str">
            <v>听力</v>
          </cell>
          <cell r="T361" t="str">
            <v>三级</v>
          </cell>
          <cell r="U361" t="str">
            <v>听力三级;</v>
          </cell>
        </row>
        <row r="362">
          <cell r="B362" t="str">
            <v>51302119470402045X</v>
          </cell>
          <cell r="C362" t="str">
            <v>男</v>
          </cell>
          <cell r="D362" t="str">
            <v>汉族</v>
          </cell>
          <cell r="E362" t="str">
            <v>小学</v>
          </cell>
          <cell r="F362" t="str">
            <v>已婚</v>
          </cell>
          <cell r="G362" t="str">
            <v>农业</v>
          </cell>
        </row>
        <row r="362">
          <cell r="I362" t="str">
            <v>15882940834</v>
          </cell>
          <cell r="J362" t="str">
            <v>石板街道</v>
          </cell>
          <cell r="K362" t="str">
            <v>金刚村</v>
          </cell>
          <cell r="L362" t="str">
            <v>四川省达州市达川区石板镇石河村2组</v>
          </cell>
          <cell r="M362" t="str">
            <v>四川省达州市达川区石板镇石河村2组</v>
          </cell>
        </row>
        <row r="362">
          <cell r="R362" t="str">
            <v>51302119470402045X44</v>
          </cell>
          <cell r="S362" t="str">
            <v>肢体</v>
          </cell>
          <cell r="T362" t="str">
            <v>四级</v>
          </cell>
          <cell r="U362" t="str">
            <v>肢体四级;</v>
          </cell>
        </row>
        <row r="363">
          <cell r="B363" t="str">
            <v>513021193801150454</v>
          </cell>
          <cell r="C363" t="str">
            <v>男</v>
          </cell>
          <cell r="D363" t="str">
            <v>汉族</v>
          </cell>
          <cell r="E363" t="str">
            <v>小学</v>
          </cell>
          <cell r="F363" t="str">
            <v>已婚</v>
          </cell>
          <cell r="G363" t="str">
            <v>农业</v>
          </cell>
        </row>
        <row r="363">
          <cell r="I363" t="str">
            <v>0000000</v>
          </cell>
          <cell r="J363" t="str">
            <v>石板街道</v>
          </cell>
          <cell r="K363" t="str">
            <v>金刚村</v>
          </cell>
          <cell r="L363" t="str">
            <v>四川省达州市达川区石板镇石河村2组</v>
          </cell>
          <cell r="M363" t="str">
            <v>四川省达县石板镇石河村2组</v>
          </cell>
        </row>
        <row r="363">
          <cell r="R363" t="str">
            <v>51302119380115045424</v>
          </cell>
          <cell r="S363" t="str">
            <v>听力</v>
          </cell>
          <cell r="T363" t="str">
            <v>四级</v>
          </cell>
          <cell r="U363" t="str">
            <v>听力四级;</v>
          </cell>
        </row>
        <row r="364">
          <cell r="B364" t="str">
            <v>513021196506160477</v>
          </cell>
          <cell r="C364" t="str">
            <v>男</v>
          </cell>
          <cell r="D364" t="str">
            <v>汉族</v>
          </cell>
          <cell r="E364" t="str">
            <v>小学</v>
          </cell>
          <cell r="F364" t="str">
            <v>已婚</v>
          </cell>
          <cell r="G364" t="str">
            <v>农业</v>
          </cell>
        </row>
        <row r="364">
          <cell r="I364" t="str">
            <v>18784895106</v>
          </cell>
          <cell r="J364" t="str">
            <v>石板街道</v>
          </cell>
          <cell r="K364" t="str">
            <v>金刚村</v>
          </cell>
          <cell r="L364" t="str">
            <v>四川省达州市达川区石板街道金刚村2组</v>
          </cell>
          <cell r="M364" t="str">
            <v>四川省达州市达川区石板街道金刚村2组</v>
          </cell>
        </row>
        <row r="364">
          <cell r="R364" t="str">
            <v>51302119650616047744</v>
          </cell>
          <cell r="S364" t="str">
            <v>肢体</v>
          </cell>
          <cell r="T364" t="str">
            <v>四级</v>
          </cell>
          <cell r="U364" t="str">
            <v>肢体四级;</v>
          </cell>
        </row>
        <row r="365">
          <cell r="B365" t="str">
            <v>513021196112110450</v>
          </cell>
          <cell r="C365" t="str">
            <v>男</v>
          </cell>
          <cell r="D365" t="str">
            <v>汉族</v>
          </cell>
          <cell r="E365" t="str">
            <v>初中</v>
          </cell>
          <cell r="F365" t="str">
            <v>已婚</v>
          </cell>
          <cell r="G365" t="str">
            <v>农业</v>
          </cell>
        </row>
        <row r="365">
          <cell r="I365" t="str">
            <v>15983878887</v>
          </cell>
          <cell r="J365" t="str">
            <v>石板街道</v>
          </cell>
          <cell r="K365" t="str">
            <v>金刚村</v>
          </cell>
          <cell r="L365" t="str">
            <v>四川省达州市达川区石板镇石河村4组</v>
          </cell>
          <cell r="M365" t="str">
            <v>四川省达州市达川区石板镇石河村4组</v>
          </cell>
        </row>
        <row r="365">
          <cell r="R365" t="str">
            <v>51302119611211045044</v>
          </cell>
          <cell r="S365" t="str">
            <v>肢体</v>
          </cell>
          <cell r="T365" t="str">
            <v>四级</v>
          </cell>
          <cell r="U365" t="str">
            <v>肢体四级;</v>
          </cell>
        </row>
        <row r="366">
          <cell r="B366" t="str">
            <v>513021195611200974</v>
          </cell>
          <cell r="C366" t="str">
            <v>男</v>
          </cell>
          <cell r="D366" t="str">
            <v>汉族</v>
          </cell>
          <cell r="E366" t="str">
            <v>小学</v>
          </cell>
          <cell r="F366" t="str">
            <v>已婚</v>
          </cell>
          <cell r="G366" t="str">
            <v>农业</v>
          </cell>
        </row>
        <row r="366">
          <cell r="J366" t="str">
            <v>石板街道</v>
          </cell>
          <cell r="K366" t="str">
            <v>金刚村</v>
          </cell>
          <cell r="L366" t="str">
            <v>四川省达县石板镇金刚村2组</v>
          </cell>
          <cell r="M366" t="str">
            <v>四川省达县石板镇金刚村2组</v>
          </cell>
        </row>
        <row r="366">
          <cell r="R366" t="str">
            <v>51302119561120097444</v>
          </cell>
          <cell r="S366" t="str">
            <v>肢体</v>
          </cell>
          <cell r="T366" t="str">
            <v>四级</v>
          </cell>
          <cell r="U366" t="str">
            <v>肢体四级;</v>
          </cell>
        </row>
        <row r="367">
          <cell r="B367" t="str">
            <v>513021196901110971</v>
          </cell>
          <cell r="C367" t="str">
            <v>男</v>
          </cell>
          <cell r="D367" t="str">
            <v>汉族</v>
          </cell>
          <cell r="E367" t="str">
            <v>初中</v>
          </cell>
          <cell r="F367" t="str">
            <v>已婚</v>
          </cell>
          <cell r="G367" t="str">
            <v>农业</v>
          </cell>
        </row>
        <row r="367">
          <cell r="I367" t="str">
            <v>0818-2311132</v>
          </cell>
          <cell r="J367" t="str">
            <v>石板街道</v>
          </cell>
          <cell r="K367" t="str">
            <v>金刚村</v>
          </cell>
          <cell r="L367" t="str">
            <v>四川省达州市达川区石板镇金刚村7组</v>
          </cell>
          <cell r="M367" t="str">
            <v>四川省达县石板镇金刚村7组</v>
          </cell>
          <cell r="N367" t="str">
            <v>潘传平</v>
          </cell>
          <cell r="O367" t="str">
            <v>配偶</v>
          </cell>
        </row>
        <row r="367">
          <cell r="Q367" t="str">
            <v>13778388223</v>
          </cell>
          <cell r="R367" t="str">
            <v>51302119690111097173</v>
          </cell>
          <cell r="S367" t="str">
            <v>多重</v>
          </cell>
          <cell r="T367" t="str">
            <v>三级</v>
          </cell>
          <cell r="U367" t="str">
            <v>视力三级;肢体四级;</v>
          </cell>
        </row>
        <row r="368">
          <cell r="B368" t="str">
            <v>513021197607110975</v>
          </cell>
          <cell r="C368" t="str">
            <v>男</v>
          </cell>
          <cell r="D368" t="str">
            <v>汉族</v>
          </cell>
          <cell r="E368" t="str">
            <v>小学</v>
          </cell>
          <cell r="F368" t="str">
            <v>未婚</v>
          </cell>
          <cell r="G368" t="str">
            <v>农业</v>
          </cell>
        </row>
        <row r="368">
          <cell r="I368" t="str">
            <v>15282428900</v>
          </cell>
          <cell r="J368" t="str">
            <v>石板街道</v>
          </cell>
          <cell r="K368" t="str">
            <v>金刚村</v>
          </cell>
          <cell r="L368" t="str">
            <v>四川省达州市达川区石板街道金刚村6组</v>
          </cell>
          <cell r="M368" t="str">
            <v>四川省达州市达川区石板街道金刚村6组</v>
          </cell>
          <cell r="N368" t="str">
            <v>王淑容</v>
          </cell>
          <cell r="O368" t="str">
            <v>配偶</v>
          </cell>
        </row>
        <row r="368">
          <cell r="R368" t="str">
            <v>51302119760711097542</v>
          </cell>
          <cell r="S368" t="str">
            <v>肢体</v>
          </cell>
          <cell r="T368" t="str">
            <v>二级</v>
          </cell>
          <cell r="U368" t="str">
            <v>肢体二级;</v>
          </cell>
        </row>
        <row r="369">
          <cell r="B369" t="str">
            <v>513021193705100457</v>
          </cell>
          <cell r="C369" t="str">
            <v>男</v>
          </cell>
          <cell r="D369" t="str">
            <v>汉族</v>
          </cell>
          <cell r="E369" t="str">
            <v>小学</v>
          </cell>
          <cell r="F369" t="str">
            <v>已婚</v>
          </cell>
          <cell r="G369" t="str">
            <v>农业</v>
          </cell>
        </row>
        <row r="369">
          <cell r="I369" t="str">
            <v>00000000</v>
          </cell>
          <cell r="J369" t="str">
            <v>石板街道</v>
          </cell>
          <cell r="K369" t="str">
            <v>金刚村</v>
          </cell>
          <cell r="L369" t="str">
            <v>四川省达州市达川区石板镇石河村2组</v>
          </cell>
          <cell r="M369" t="str">
            <v>四川省达县石板镇石河村2组</v>
          </cell>
        </row>
        <row r="369">
          <cell r="R369" t="str">
            <v>51302119370510045723</v>
          </cell>
          <cell r="S369" t="str">
            <v>听力</v>
          </cell>
          <cell r="T369" t="str">
            <v>三级</v>
          </cell>
          <cell r="U369" t="str">
            <v>听力三级;</v>
          </cell>
        </row>
        <row r="370">
          <cell r="B370" t="str">
            <v>513021194908270979</v>
          </cell>
          <cell r="C370" t="str">
            <v>男</v>
          </cell>
          <cell r="D370" t="str">
            <v>汉族</v>
          </cell>
          <cell r="E370" t="str">
            <v>小学</v>
          </cell>
          <cell r="F370" t="str">
            <v>已婚</v>
          </cell>
          <cell r="G370" t="str">
            <v>农业</v>
          </cell>
        </row>
        <row r="370">
          <cell r="I370" t="str">
            <v>0000000000</v>
          </cell>
          <cell r="J370" t="str">
            <v>石板街道</v>
          </cell>
          <cell r="K370" t="str">
            <v>金刚村</v>
          </cell>
          <cell r="L370" t="str">
            <v>四川省达州市达川区石板镇金刚村1组</v>
          </cell>
          <cell r="M370" t="str">
            <v>四川省达县石板镇金刚村1组</v>
          </cell>
        </row>
        <row r="370">
          <cell r="R370" t="str">
            <v>51302119490827097913</v>
          </cell>
          <cell r="S370" t="str">
            <v>视力</v>
          </cell>
          <cell r="T370" t="str">
            <v>三级</v>
          </cell>
          <cell r="U370" t="str">
            <v>视力三级;</v>
          </cell>
        </row>
        <row r="371">
          <cell r="B371" t="str">
            <v>513021194012110454</v>
          </cell>
          <cell r="C371" t="str">
            <v>男</v>
          </cell>
          <cell r="D371" t="str">
            <v>汉族</v>
          </cell>
          <cell r="E371" t="str">
            <v>初中</v>
          </cell>
          <cell r="F371" t="str">
            <v>未婚</v>
          </cell>
          <cell r="G371" t="str">
            <v>农业</v>
          </cell>
        </row>
        <row r="371">
          <cell r="I371" t="str">
            <v>13778332219</v>
          </cell>
          <cell r="J371" t="str">
            <v>石板街道</v>
          </cell>
          <cell r="K371" t="str">
            <v>金刚村</v>
          </cell>
          <cell r="L371" t="str">
            <v>四川省达州市达川区石板镇石河村7组</v>
          </cell>
          <cell r="M371" t="str">
            <v>四川省达州市达川区石板镇石河村7组</v>
          </cell>
        </row>
        <row r="371">
          <cell r="R371" t="str">
            <v>51302119401211045444B1</v>
          </cell>
          <cell r="S371" t="str">
            <v>肢体</v>
          </cell>
          <cell r="T371" t="str">
            <v>四级</v>
          </cell>
          <cell r="U371" t="str">
            <v>肢体四级;</v>
          </cell>
        </row>
        <row r="372">
          <cell r="B372" t="str">
            <v>513021193008180455</v>
          </cell>
          <cell r="C372" t="str">
            <v>男</v>
          </cell>
          <cell r="D372" t="str">
            <v>汉族</v>
          </cell>
          <cell r="E372" t="str">
            <v>小学</v>
          </cell>
          <cell r="F372" t="str">
            <v>已婚</v>
          </cell>
          <cell r="G372" t="str">
            <v>农业</v>
          </cell>
        </row>
        <row r="372">
          <cell r="I372" t="str">
            <v>18481866696</v>
          </cell>
          <cell r="J372" t="str">
            <v>石板街道</v>
          </cell>
          <cell r="K372" t="str">
            <v>金刚村</v>
          </cell>
          <cell r="L372" t="str">
            <v>四川省达州市达川区石板街道金刚村2组</v>
          </cell>
          <cell r="M372" t="str">
            <v>四川省达州市达川区石板街道金刚村2组</v>
          </cell>
        </row>
        <row r="372">
          <cell r="R372" t="str">
            <v>51302119300818045511</v>
          </cell>
          <cell r="S372" t="str">
            <v>视力</v>
          </cell>
          <cell r="T372" t="str">
            <v>一级</v>
          </cell>
          <cell r="U372" t="str">
            <v>视力一级;</v>
          </cell>
        </row>
        <row r="373">
          <cell r="B373" t="str">
            <v>513021196003040457</v>
          </cell>
          <cell r="C373" t="str">
            <v>男</v>
          </cell>
          <cell r="D373" t="str">
            <v>汉族</v>
          </cell>
          <cell r="E373" t="str">
            <v>小学</v>
          </cell>
          <cell r="F373" t="str">
            <v>丧偶</v>
          </cell>
          <cell r="G373" t="str">
            <v>农业</v>
          </cell>
        </row>
        <row r="373">
          <cell r="I373" t="str">
            <v>13678297611</v>
          </cell>
          <cell r="J373" t="str">
            <v>石板街道</v>
          </cell>
          <cell r="K373" t="str">
            <v>金刚村</v>
          </cell>
          <cell r="L373" t="str">
            <v>四川省达州市达川区石板街道金刚村５组６０４号</v>
          </cell>
          <cell r="M373" t="str">
            <v>四川省达州市达川区石板街道金刚村５组６０４号</v>
          </cell>
          <cell r="N373" t="str">
            <v>肖学均</v>
          </cell>
          <cell r="O373" t="str">
            <v>兄/弟/姐/妹</v>
          </cell>
        </row>
        <row r="373">
          <cell r="Q373" t="str">
            <v>13678297611</v>
          </cell>
          <cell r="R373" t="str">
            <v>51302119600304045753</v>
          </cell>
          <cell r="S373" t="str">
            <v>智力</v>
          </cell>
          <cell r="T373" t="str">
            <v>三级</v>
          </cell>
          <cell r="U373" t="str">
            <v>智力三级;</v>
          </cell>
        </row>
        <row r="374">
          <cell r="B374" t="str">
            <v>513021198208150456</v>
          </cell>
          <cell r="C374" t="str">
            <v>男</v>
          </cell>
          <cell r="D374" t="str">
            <v>汉族</v>
          </cell>
          <cell r="E374" t="str">
            <v>小学</v>
          </cell>
          <cell r="F374" t="str">
            <v>未婚</v>
          </cell>
          <cell r="G374" t="str">
            <v>非农业</v>
          </cell>
        </row>
        <row r="374">
          <cell r="I374" t="str">
            <v>13410597596</v>
          </cell>
          <cell r="J374" t="str">
            <v>石板街道</v>
          </cell>
          <cell r="K374" t="str">
            <v>金刚村</v>
          </cell>
          <cell r="L374" t="str">
            <v>四川省达州市达川区石板街道金刚村7组</v>
          </cell>
          <cell r="M374" t="str">
            <v>四川省达州市达川区石板街道金刚村7组</v>
          </cell>
        </row>
        <row r="374">
          <cell r="R374" t="str">
            <v>51302119820815045644</v>
          </cell>
          <cell r="S374" t="str">
            <v>肢体</v>
          </cell>
          <cell r="T374" t="str">
            <v>四级</v>
          </cell>
          <cell r="U374" t="str">
            <v>肢体四级;</v>
          </cell>
        </row>
        <row r="375">
          <cell r="B375" t="str">
            <v>513021196511110474</v>
          </cell>
          <cell r="C375" t="str">
            <v>男</v>
          </cell>
          <cell r="D375" t="str">
            <v>汉族</v>
          </cell>
          <cell r="E375" t="str">
            <v>初中</v>
          </cell>
          <cell r="F375" t="str">
            <v>离婚</v>
          </cell>
          <cell r="G375" t="str">
            <v>农业</v>
          </cell>
        </row>
        <row r="375">
          <cell r="I375" t="str">
            <v>15181806457</v>
          </cell>
          <cell r="J375" t="str">
            <v>石板街道</v>
          </cell>
          <cell r="K375" t="str">
            <v>金刚村</v>
          </cell>
          <cell r="L375" t="str">
            <v>四川省达州市达川区石板街道金刚村11组</v>
          </cell>
          <cell r="M375" t="str">
            <v>四川省达州市达川区石板街道金刚村11组</v>
          </cell>
        </row>
        <row r="375">
          <cell r="R375" t="str">
            <v>51302119651111047443</v>
          </cell>
          <cell r="S375" t="str">
            <v>肢体</v>
          </cell>
          <cell r="T375" t="str">
            <v>三级</v>
          </cell>
          <cell r="U375" t="str">
            <v>肢体三级;</v>
          </cell>
        </row>
        <row r="376">
          <cell r="B376" t="str">
            <v>513021194104050444</v>
          </cell>
          <cell r="C376" t="str">
            <v>女</v>
          </cell>
          <cell r="D376" t="str">
            <v>汉族</v>
          </cell>
          <cell r="E376" t="str">
            <v>初中</v>
          </cell>
          <cell r="F376" t="str">
            <v>已婚</v>
          </cell>
          <cell r="G376" t="str">
            <v>农业</v>
          </cell>
        </row>
        <row r="376">
          <cell r="I376" t="str">
            <v>13551478482</v>
          </cell>
          <cell r="J376" t="str">
            <v>石板街道</v>
          </cell>
          <cell r="K376" t="str">
            <v>金刚村</v>
          </cell>
          <cell r="L376" t="str">
            <v>四川省达州市达川区石板镇石河村5组</v>
          </cell>
          <cell r="M376" t="str">
            <v>四川省达县石板镇石河村5组</v>
          </cell>
        </row>
        <row r="376">
          <cell r="R376" t="str">
            <v>51302119410405044413</v>
          </cell>
          <cell r="S376" t="str">
            <v>视力</v>
          </cell>
          <cell r="T376" t="str">
            <v>三级</v>
          </cell>
          <cell r="U376" t="str">
            <v>视力三级;</v>
          </cell>
        </row>
        <row r="377">
          <cell r="B377" t="str">
            <v>513021199908050450</v>
          </cell>
          <cell r="C377" t="str">
            <v>男</v>
          </cell>
          <cell r="D377" t="str">
            <v>汉族</v>
          </cell>
          <cell r="E377" t="str">
            <v>小学</v>
          </cell>
          <cell r="F377" t="str">
            <v>未婚</v>
          </cell>
          <cell r="G377" t="str">
            <v>农业</v>
          </cell>
        </row>
        <row r="377">
          <cell r="I377" t="str">
            <v>18708245058</v>
          </cell>
          <cell r="J377" t="str">
            <v>石板街道</v>
          </cell>
          <cell r="K377" t="str">
            <v>金刚村</v>
          </cell>
          <cell r="L377" t="str">
            <v>四川省达州市达川区石板镇石河村5组</v>
          </cell>
          <cell r="M377" t="str">
            <v>四川省达州市达川区石板镇石河村5组</v>
          </cell>
          <cell r="N377" t="str">
            <v>冯盛建</v>
          </cell>
          <cell r="O377" t="str">
            <v>父母</v>
          </cell>
        </row>
        <row r="377">
          <cell r="Q377" t="str">
            <v>18708245058</v>
          </cell>
          <cell r="R377" t="str">
            <v>51302119990805045014</v>
          </cell>
          <cell r="S377" t="str">
            <v>视力</v>
          </cell>
          <cell r="T377" t="str">
            <v>四级</v>
          </cell>
          <cell r="U377" t="str">
            <v>视力四级;</v>
          </cell>
        </row>
        <row r="378">
          <cell r="B378" t="str">
            <v>513021195107270447</v>
          </cell>
          <cell r="C378" t="str">
            <v>女</v>
          </cell>
          <cell r="D378" t="str">
            <v>汉族</v>
          </cell>
          <cell r="E378" t="str">
            <v>小学</v>
          </cell>
          <cell r="F378" t="str">
            <v>已婚</v>
          </cell>
          <cell r="G378" t="str">
            <v>农业</v>
          </cell>
        </row>
        <row r="378">
          <cell r="I378" t="str">
            <v>18682806637</v>
          </cell>
          <cell r="J378" t="str">
            <v>石板街道</v>
          </cell>
          <cell r="K378" t="str">
            <v>金刚村</v>
          </cell>
          <cell r="L378" t="str">
            <v>四川省达州市达川区石板镇石河村１组１６号</v>
          </cell>
          <cell r="M378" t="str">
            <v>四川省达县石板镇石河村１组１６号</v>
          </cell>
        </row>
        <row r="378">
          <cell r="R378" t="str">
            <v>51302119510727044743</v>
          </cell>
          <cell r="S378" t="str">
            <v>肢体</v>
          </cell>
          <cell r="T378" t="str">
            <v>三级</v>
          </cell>
          <cell r="U378" t="str">
            <v>肢体三级;</v>
          </cell>
        </row>
        <row r="379">
          <cell r="B379" t="str">
            <v>513021196707170452</v>
          </cell>
          <cell r="C379" t="str">
            <v>男</v>
          </cell>
          <cell r="D379" t="str">
            <v>汉族</v>
          </cell>
          <cell r="E379" t="str">
            <v>小学</v>
          </cell>
          <cell r="F379" t="str">
            <v>已婚</v>
          </cell>
          <cell r="G379" t="str">
            <v>农业</v>
          </cell>
        </row>
        <row r="379">
          <cell r="I379" t="str">
            <v>00000000000</v>
          </cell>
          <cell r="J379" t="str">
            <v>石板街道</v>
          </cell>
          <cell r="K379" t="str">
            <v>金刚村</v>
          </cell>
          <cell r="L379" t="str">
            <v>四川省达州市达川区石板镇石河村2组</v>
          </cell>
          <cell r="M379" t="str">
            <v>四川省达州市达川区石板镇石河村2组</v>
          </cell>
          <cell r="N379" t="str">
            <v>刘运海</v>
          </cell>
          <cell r="O379" t="str">
            <v>父母</v>
          </cell>
        </row>
        <row r="379">
          <cell r="Q379" t="str">
            <v>13219180378</v>
          </cell>
          <cell r="R379" t="str">
            <v>51302119670717045263</v>
          </cell>
          <cell r="S379" t="str">
            <v>精神</v>
          </cell>
          <cell r="T379" t="str">
            <v>三级</v>
          </cell>
          <cell r="U379" t="str">
            <v>精神三级;</v>
          </cell>
        </row>
        <row r="380">
          <cell r="B380" t="str">
            <v>513021195010280454</v>
          </cell>
          <cell r="C380" t="str">
            <v>男</v>
          </cell>
          <cell r="D380" t="str">
            <v>汉族</v>
          </cell>
          <cell r="E380" t="str">
            <v>小学</v>
          </cell>
          <cell r="F380" t="str">
            <v>已婚</v>
          </cell>
          <cell r="G380" t="str">
            <v>农业</v>
          </cell>
        </row>
        <row r="380">
          <cell r="I380" t="str">
            <v>0000000000</v>
          </cell>
          <cell r="J380" t="str">
            <v>石板街道</v>
          </cell>
          <cell r="K380" t="str">
            <v>金刚村</v>
          </cell>
          <cell r="L380" t="str">
            <v>四川省达州市达川区石板镇石河村2组</v>
          </cell>
          <cell r="M380" t="str">
            <v>四川省达州市达川区石板镇石河村2组</v>
          </cell>
        </row>
        <row r="380">
          <cell r="R380" t="str">
            <v>51302119501028045423</v>
          </cell>
          <cell r="S380" t="str">
            <v>听力</v>
          </cell>
          <cell r="T380" t="str">
            <v>三级</v>
          </cell>
          <cell r="U380" t="str">
            <v>听力三级;</v>
          </cell>
        </row>
        <row r="381">
          <cell r="B381" t="str">
            <v>513021194711100458</v>
          </cell>
          <cell r="C381" t="str">
            <v>男</v>
          </cell>
          <cell r="D381" t="str">
            <v>汉族</v>
          </cell>
          <cell r="E381" t="str">
            <v>小学</v>
          </cell>
          <cell r="F381" t="str">
            <v>已婚</v>
          </cell>
          <cell r="G381" t="str">
            <v>农业</v>
          </cell>
        </row>
        <row r="381">
          <cell r="I381" t="str">
            <v>00000</v>
          </cell>
          <cell r="J381" t="str">
            <v>石板街道</v>
          </cell>
          <cell r="K381" t="str">
            <v>金刚村</v>
          </cell>
          <cell r="L381" t="str">
            <v>四川省达县石板镇石河村2组</v>
          </cell>
          <cell r="M381" t="str">
            <v>四川省达县石板镇石河村2组</v>
          </cell>
        </row>
        <row r="381">
          <cell r="R381" t="str">
            <v>51302119471110045824</v>
          </cell>
          <cell r="S381" t="str">
            <v>听力</v>
          </cell>
          <cell r="T381" t="str">
            <v>四级</v>
          </cell>
          <cell r="U381" t="str">
            <v>听力四级;</v>
          </cell>
        </row>
        <row r="382">
          <cell r="B382" t="str">
            <v>511721200902255721</v>
          </cell>
          <cell r="C382" t="str">
            <v>女</v>
          </cell>
          <cell r="D382" t="str">
            <v>汉族</v>
          </cell>
          <cell r="E382" t="str">
            <v>文盲</v>
          </cell>
          <cell r="F382" t="str">
            <v>未婚</v>
          </cell>
          <cell r="G382" t="str">
            <v>农业</v>
          </cell>
        </row>
        <row r="382">
          <cell r="I382" t="str">
            <v>13698115875</v>
          </cell>
          <cell r="J382" t="str">
            <v>石板街道</v>
          </cell>
          <cell r="K382" t="str">
            <v>金刚村</v>
          </cell>
          <cell r="L382" t="str">
            <v>四川省达州市达川区石板街道金刚村9组</v>
          </cell>
          <cell r="M382" t="str">
            <v>四川省达州市达川区石板街道金刚村9组</v>
          </cell>
          <cell r="N382" t="str">
            <v>唐亚龙</v>
          </cell>
          <cell r="O382" t="str">
            <v>父母</v>
          </cell>
        </row>
        <row r="382">
          <cell r="Q382" t="str">
            <v>13698115875</v>
          </cell>
          <cell r="R382" t="str">
            <v>51172120090225572152</v>
          </cell>
          <cell r="S382" t="str">
            <v>智力</v>
          </cell>
          <cell r="T382" t="str">
            <v>二级</v>
          </cell>
          <cell r="U382" t="str">
            <v>智力二级;</v>
          </cell>
        </row>
        <row r="383">
          <cell r="B383" t="str">
            <v>513021195802170456</v>
          </cell>
          <cell r="C383" t="str">
            <v>男</v>
          </cell>
          <cell r="D383" t="str">
            <v>汉族</v>
          </cell>
          <cell r="E383" t="str">
            <v>小学</v>
          </cell>
          <cell r="F383" t="str">
            <v>已婚</v>
          </cell>
          <cell r="G383" t="str">
            <v>农业</v>
          </cell>
        </row>
        <row r="383">
          <cell r="J383" t="str">
            <v>石板街道</v>
          </cell>
          <cell r="K383" t="str">
            <v>金刚村</v>
          </cell>
          <cell r="L383" t="str">
            <v>四川省达县石板镇石河村2组</v>
          </cell>
          <cell r="M383" t="str">
            <v>四川省达县石板镇石河村2组</v>
          </cell>
          <cell r="N383" t="str">
            <v>杨长珍</v>
          </cell>
          <cell r="O383" t="str">
            <v>配偶</v>
          </cell>
        </row>
        <row r="383">
          <cell r="R383" t="str">
            <v>51302119580217045644</v>
          </cell>
          <cell r="S383" t="str">
            <v>肢体</v>
          </cell>
          <cell r="T383" t="str">
            <v>四级</v>
          </cell>
          <cell r="U383" t="str">
            <v>肢体四级;</v>
          </cell>
        </row>
        <row r="384">
          <cell r="B384" t="str">
            <v>513021195312200456</v>
          </cell>
          <cell r="C384" t="str">
            <v>男</v>
          </cell>
          <cell r="D384" t="str">
            <v>汉族</v>
          </cell>
          <cell r="E384" t="str">
            <v>小学</v>
          </cell>
          <cell r="F384" t="str">
            <v>已婚</v>
          </cell>
          <cell r="G384" t="str">
            <v>农业</v>
          </cell>
        </row>
        <row r="384">
          <cell r="I384" t="str">
            <v>15881829007</v>
          </cell>
          <cell r="J384" t="str">
            <v>石板街道</v>
          </cell>
          <cell r="K384" t="str">
            <v>金刚村</v>
          </cell>
          <cell r="L384" t="str">
            <v>四川省达州市达川区石板镇石河村３组３０３号</v>
          </cell>
          <cell r="M384" t="str">
            <v>四川省达县石板镇石河村３组３０３号</v>
          </cell>
        </row>
        <row r="384">
          <cell r="R384" t="str">
            <v>51302119531220045612</v>
          </cell>
          <cell r="S384" t="str">
            <v>视力</v>
          </cell>
          <cell r="T384" t="str">
            <v>二级</v>
          </cell>
          <cell r="U384" t="str">
            <v>视力二级;</v>
          </cell>
        </row>
        <row r="385">
          <cell r="B385" t="str">
            <v>513021196202110454</v>
          </cell>
          <cell r="C385" t="str">
            <v>男</v>
          </cell>
          <cell r="D385" t="str">
            <v>汉族</v>
          </cell>
          <cell r="E385" t="str">
            <v>高中</v>
          </cell>
          <cell r="F385" t="str">
            <v>已婚</v>
          </cell>
          <cell r="G385" t="str">
            <v>农业</v>
          </cell>
        </row>
        <row r="385">
          <cell r="I385" t="str">
            <v>15882955091</v>
          </cell>
          <cell r="J385" t="str">
            <v>石板街道</v>
          </cell>
          <cell r="K385" t="str">
            <v>金刚村</v>
          </cell>
          <cell r="L385" t="str">
            <v>四川省达州市达川区石板街道金刚村6组</v>
          </cell>
          <cell r="M385" t="str">
            <v>四川省达州市达川区石板街道金刚村6组</v>
          </cell>
        </row>
        <row r="385">
          <cell r="R385" t="str">
            <v>51302119620211045444</v>
          </cell>
          <cell r="S385" t="str">
            <v>肢体</v>
          </cell>
          <cell r="T385" t="str">
            <v>四级</v>
          </cell>
          <cell r="U385" t="str">
            <v>肢体四级;</v>
          </cell>
        </row>
        <row r="386">
          <cell r="B386" t="str">
            <v>513021195204150463</v>
          </cell>
          <cell r="C386" t="str">
            <v>女</v>
          </cell>
          <cell r="D386" t="str">
            <v>汉族</v>
          </cell>
          <cell r="E386" t="str">
            <v>小学</v>
          </cell>
          <cell r="F386" t="str">
            <v>已婚</v>
          </cell>
          <cell r="G386" t="str">
            <v>农业</v>
          </cell>
        </row>
        <row r="386">
          <cell r="I386" t="str">
            <v>14781882547</v>
          </cell>
          <cell r="J386" t="str">
            <v>石板街道</v>
          </cell>
          <cell r="K386" t="str">
            <v>金刚村</v>
          </cell>
          <cell r="L386" t="str">
            <v>四川省达州市达川区石板镇石河村２组１２９号</v>
          </cell>
          <cell r="M386" t="str">
            <v>四川省达县石板镇石河村２组１２９号</v>
          </cell>
        </row>
        <row r="386">
          <cell r="R386" t="str">
            <v>51302119520415046324</v>
          </cell>
          <cell r="S386" t="str">
            <v>听力</v>
          </cell>
          <cell r="T386" t="str">
            <v>四级</v>
          </cell>
          <cell r="U386" t="str">
            <v>听力四级;</v>
          </cell>
        </row>
        <row r="387">
          <cell r="B387" t="str">
            <v>513021196603110965</v>
          </cell>
          <cell r="C387" t="str">
            <v>女</v>
          </cell>
          <cell r="D387" t="str">
            <v>汉族</v>
          </cell>
          <cell r="E387" t="str">
            <v>小学</v>
          </cell>
          <cell r="F387" t="str">
            <v>已婚</v>
          </cell>
          <cell r="G387" t="str">
            <v>农业</v>
          </cell>
        </row>
        <row r="387">
          <cell r="I387" t="str">
            <v>15280126359</v>
          </cell>
          <cell r="J387" t="str">
            <v>石板街道</v>
          </cell>
          <cell r="K387" t="str">
            <v>金刚村</v>
          </cell>
          <cell r="L387" t="str">
            <v>四川省达州市达川区石板街道金刚村4组</v>
          </cell>
          <cell r="M387" t="str">
            <v>四川省达州市达川区石板街道金刚村4组</v>
          </cell>
        </row>
        <row r="387">
          <cell r="R387" t="str">
            <v>51302119660311096544</v>
          </cell>
          <cell r="S387" t="str">
            <v>肢体</v>
          </cell>
          <cell r="T387" t="str">
            <v>四级</v>
          </cell>
          <cell r="U387" t="str">
            <v>肢体四级;</v>
          </cell>
        </row>
        <row r="388">
          <cell r="B388" t="str">
            <v>513021197511210971</v>
          </cell>
          <cell r="C388" t="str">
            <v>男</v>
          </cell>
          <cell r="D388" t="str">
            <v>汉族</v>
          </cell>
          <cell r="E388" t="str">
            <v>初中</v>
          </cell>
          <cell r="F388" t="str">
            <v>未婚</v>
          </cell>
          <cell r="G388" t="str">
            <v>农业</v>
          </cell>
        </row>
        <row r="388">
          <cell r="I388" t="str">
            <v>0000000000000</v>
          </cell>
          <cell r="J388" t="str">
            <v>石板街道</v>
          </cell>
          <cell r="K388" t="str">
            <v>金刚村</v>
          </cell>
          <cell r="L388" t="str">
            <v>四川省达州市达川区石板镇金刚村3组</v>
          </cell>
          <cell r="M388" t="str">
            <v>四川省达县石板镇金刚村3组</v>
          </cell>
        </row>
        <row r="388">
          <cell r="R388" t="str">
            <v>51302119751121097124</v>
          </cell>
          <cell r="S388" t="str">
            <v>听力</v>
          </cell>
          <cell r="T388" t="str">
            <v>四级</v>
          </cell>
          <cell r="U388" t="str">
            <v>听力四级;</v>
          </cell>
        </row>
        <row r="389">
          <cell r="B389" t="str">
            <v>51302119671112044X</v>
          </cell>
          <cell r="C389" t="str">
            <v>女</v>
          </cell>
          <cell r="D389" t="str">
            <v>汉族</v>
          </cell>
          <cell r="E389" t="str">
            <v>小学</v>
          </cell>
          <cell r="F389" t="str">
            <v>已婚</v>
          </cell>
          <cell r="G389" t="str">
            <v>农业</v>
          </cell>
        </row>
        <row r="389">
          <cell r="I389" t="str">
            <v>15928820753</v>
          </cell>
          <cell r="J389" t="str">
            <v>石板街道</v>
          </cell>
          <cell r="K389" t="str">
            <v>金刚村</v>
          </cell>
          <cell r="L389" t="str">
            <v>四川省达州市达川区石板镇石河村5组</v>
          </cell>
          <cell r="M389" t="str">
            <v>四川省达州市达川区石板镇石河村5组</v>
          </cell>
          <cell r="N389" t="str">
            <v>唐志华</v>
          </cell>
          <cell r="O389" t="str">
            <v>配偶</v>
          </cell>
        </row>
        <row r="389">
          <cell r="R389" t="str">
            <v>51302119671112044X43</v>
          </cell>
          <cell r="S389" t="str">
            <v>肢体</v>
          </cell>
          <cell r="T389" t="str">
            <v>三级</v>
          </cell>
          <cell r="U389" t="str">
            <v>肢体三级;</v>
          </cell>
        </row>
        <row r="390">
          <cell r="B390" t="str">
            <v>513021194205170445</v>
          </cell>
          <cell r="C390" t="str">
            <v>女</v>
          </cell>
          <cell r="D390" t="str">
            <v>汉族</v>
          </cell>
          <cell r="E390" t="str">
            <v>小学</v>
          </cell>
          <cell r="F390" t="str">
            <v>已婚</v>
          </cell>
          <cell r="G390" t="str">
            <v>农业</v>
          </cell>
        </row>
        <row r="390">
          <cell r="I390" t="str">
            <v>00000000</v>
          </cell>
          <cell r="J390" t="str">
            <v>石板街道</v>
          </cell>
          <cell r="K390" t="str">
            <v>金刚村</v>
          </cell>
          <cell r="L390" t="str">
            <v>四川省达县石板镇石河村1组</v>
          </cell>
          <cell r="M390" t="str">
            <v>四川省达县石板镇石河村1组</v>
          </cell>
        </row>
        <row r="390">
          <cell r="R390" t="str">
            <v>51302119420517044544</v>
          </cell>
          <cell r="S390" t="str">
            <v>肢体</v>
          </cell>
          <cell r="T390" t="str">
            <v>四级</v>
          </cell>
          <cell r="U390" t="str">
            <v>肢体四级;</v>
          </cell>
        </row>
        <row r="391">
          <cell r="B391" t="str">
            <v>513021194610140442</v>
          </cell>
          <cell r="C391" t="str">
            <v>女</v>
          </cell>
          <cell r="D391" t="str">
            <v>汉族</v>
          </cell>
          <cell r="E391" t="str">
            <v>小学</v>
          </cell>
          <cell r="F391" t="str">
            <v>已婚</v>
          </cell>
          <cell r="G391" t="str">
            <v>农业</v>
          </cell>
        </row>
        <row r="391">
          <cell r="I391" t="str">
            <v>15281863113</v>
          </cell>
          <cell r="J391" t="str">
            <v>石板街道</v>
          </cell>
          <cell r="K391" t="str">
            <v>金刚村</v>
          </cell>
          <cell r="L391" t="str">
            <v>四川省达州市达川区石板镇石河村２组２００号</v>
          </cell>
          <cell r="M391" t="str">
            <v>四川省达县石板镇石河村２组２００号</v>
          </cell>
        </row>
        <row r="391">
          <cell r="R391" t="str">
            <v>51302119461014044244</v>
          </cell>
          <cell r="S391" t="str">
            <v>肢体</v>
          </cell>
          <cell r="T391" t="str">
            <v>四级</v>
          </cell>
          <cell r="U391" t="str">
            <v>肢体四级;</v>
          </cell>
        </row>
        <row r="392">
          <cell r="B392" t="str">
            <v>511721200603295715</v>
          </cell>
          <cell r="C392" t="str">
            <v>男</v>
          </cell>
          <cell r="D392" t="str">
            <v>汉族</v>
          </cell>
          <cell r="E392" t="str">
            <v>小学</v>
          </cell>
          <cell r="F392" t="str">
            <v>未婚</v>
          </cell>
          <cell r="G392" t="str">
            <v>农业</v>
          </cell>
        </row>
        <row r="392">
          <cell r="I392" t="str">
            <v>13778349696</v>
          </cell>
          <cell r="J392" t="str">
            <v>石板街道</v>
          </cell>
          <cell r="K392" t="str">
            <v>金刚村</v>
          </cell>
          <cell r="L392" t="str">
            <v>四川省达县石板镇金刚村7组</v>
          </cell>
          <cell r="M392" t="str">
            <v>四川省达县石板镇金刚村7组</v>
          </cell>
          <cell r="N392" t="str">
            <v>龚荣兵</v>
          </cell>
          <cell r="O392" t="str">
            <v>父母</v>
          </cell>
        </row>
        <row r="392">
          <cell r="Q392" t="str">
            <v>13778349696</v>
          </cell>
          <cell r="R392" t="str">
            <v>51172120060329571522</v>
          </cell>
          <cell r="S392" t="str">
            <v>听力</v>
          </cell>
          <cell r="T392" t="str">
            <v>二级</v>
          </cell>
          <cell r="U392" t="str">
            <v>听力二级;</v>
          </cell>
        </row>
        <row r="393">
          <cell r="B393" t="str">
            <v>51302119690712088X</v>
          </cell>
          <cell r="C393" t="str">
            <v>女</v>
          </cell>
          <cell r="D393" t="str">
            <v>汉族</v>
          </cell>
          <cell r="E393" t="str">
            <v>小学</v>
          </cell>
          <cell r="F393" t="str">
            <v>已婚</v>
          </cell>
          <cell r="G393" t="str">
            <v>农业</v>
          </cell>
        </row>
        <row r="393">
          <cell r="I393" t="str">
            <v>000000</v>
          </cell>
          <cell r="J393" t="str">
            <v>石板街道</v>
          </cell>
          <cell r="K393" t="str">
            <v>金刚村</v>
          </cell>
          <cell r="L393" t="str">
            <v>四川省达州市达川区石板镇石河村1组</v>
          </cell>
          <cell r="M393" t="str">
            <v>四川省达州市达川区石板镇石河村1组</v>
          </cell>
        </row>
        <row r="393">
          <cell r="R393" t="str">
            <v>51302119690712088X24B1</v>
          </cell>
          <cell r="S393" t="str">
            <v>听力</v>
          </cell>
          <cell r="T393" t="str">
            <v>四级</v>
          </cell>
          <cell r="U393" t="str">
            <v>听力四级;</v>
          </cell>
        </row>
        <row r="394">
          <cell r="B394" t="str">
            <v>513021195202160449</v>
          </cell>
          <cell r="C394" t="str">
            <v>女</v>
          </cell>
          <cell r="D394" t="str">
            <v>汉族</v>
          </cell>
          <cell r="E394" t="str">
            <v>小学</v>
          </cell>
          <cell r="F394" t="str">
            <v>已婚</v>
          </cell>
          <cell r="G394" t="str">
            <v>农业</v>
          </cell>
        </row>
        <row r="394">
          <cell r="I394" t="str">
            <v>000000000</v>
          </cell>
          <cell r="J394" t="str">
            <v>石板街道</v>
          </cell>
          <cell r="K394" t="str">
            <v>金刚村</v>
          </cell>
          <cell r="L394" t="str">
            <v>四川省达州市达川区石板镇石河村2组</v>
          </cell>
          <cell r="M394" t="str">
            <v>四川省达县石板镇石河村2组</v>
          </cell>
        </row>
        <row r="394">
          <cell r="R394" t="str">
            <v>51302119520216044924</v>
          </cell>
          <cell r="S394" t="str">
            <v>听力</v>
          </cell>
          <cell r="T394" t="str">
            <v>四级</v>
          </cell>
          <cell r="U394" t="str">
            <v>听力四级;</v>
          </cell>
        </row>
        <row r="395">
          <cell r="B395" t="str">
            <v>513021196912070450</v>
          </cell>
          <cell r="C395" t="str">
            <v>男</v>
          </cell>
          <cell r="D395" t="str">
            <v>汉族</v>
          </cell>
          <cell r="E395" t="str">
            <v>小学</v>
          </cell>
          <cell r="F395" t="str">
            <v>未婚</v>
          </cell>
          <cell r="G395" t="str">
            <v>农业</v>
          </cell>
        </row>
        <row r="395">
          <cell r="I395" t="str">
            <v>13547221316</v>
          </cell>
          <cell r="J395" t="str">
            <v>石板街道</v>
          </cell>
          <cell r="K395" t="str">
            <v>金刚村</v>
          </cell>
          <cell r="L395" t="str">
            <v>四川省达州市达川区石板街道金刚村3组</v>
          </cell>
          <cell r="M395" t="str">
            <v>四川省达州市达川区石板街道金刚村3组</v>
          </cell>
          <cell r="N395" t="str">
            <v>刘兴华</v>
          </cell>
          <cell r="O395" t="str">
            <v>父母</v>
          </cell>
        </row>
        <row r="395">
          <cell r="Q395" t="str">
            <v>13547221316</v>
          </cell>
          <cell r="R395" t="str">
            <v>51302119691207045052</v>
          </cell>
          <cell r="S395" t="str">
            <v>智力</v>
          </cell>
          <cell r="T395" t="str">
            <v>二级</v>
          </cell>
          <cell r="U395" t="str">
            <v>智力二级;</v>
          </cell>
        </row>
        <row r="396">
          <cell r="B396" t="str">
            <v>513021198208010453</v>
          </cell>
          <cell r="C396" t="str">
            <v>男</v>
          </cell>
          <cell r="D396" t="str">
            <v>汉族</v>
          </cell>
          <cell r="E396" t="str">
            <v>小学</v>
          </cell>
          <cell r="F396" t="str">
            <v>未婚</v>
          </cell>
          <cell r="G396" t="str">
            <v>农业</v>
          </cell>
        </row>
        <row r="396">
          <cell r="I396" t="str">
            <v>13982844926</v>
          </cell>
          <cell r="J396" t="str">
            <v>石板街道</v>
          </cell>
          <cell r="K396" t="str">
            <v>金刚村</v>
          </cell>
          <cell r="L396" t="str">
            <v>四川省达州市达川区石板镇石河村３组２７３号</v>
          </cell>
          <cell r="M396" t="str">
            <v>四川省达县石板镇石河村３组２７３号</v>
          </cell>
        </row>
        <row r="396">
          <cell r="R396" t="str">
            <v>51302119820801045341</v>
          </cell>
          <cell r="S396" t="str">
            <v>肢体</v>
          </cell>
          <cell r="T396" t="str">
            <v>一级</v>
          </cell>
          <cell r="U396" t="str">
            <v>肢体一级;</v>
          </cell>
        </row>
        <row r="397">
          <cell r="B397" t="str">
            <v>513021195104010447</v>
          </cell>
          <cell r="C397" t="str">
            <v>女</v>
          </cell>
          <cell r="D397" t="str">
            <v>汉族</v>
          </cell>
          <cell r="E397" t="str">
            <v>文盲</v>
          </cell>
          <cell r="F397" t="str">
            <v>已婚</v>
          </cell>
          <cell r="G397" t="str">
            <v>农业</v>
          </cell>
        </row>
        <row r="397">
          <cell r="I397" t="str">
            <v>18784840255</v>
          </cell>
          <cell r="J397" t="str">
            <v>石板街道</v>
          </cell>
          <cell r="K397" t="str">
            <v>金刚村</v>
          </cell>
          <cell r="L397" t="str">
            <v>四川省达州市达川区石板镇石河村1组113号</v>
          </cell>
          <cell r="M397" t="str">
            <v>四川省达州市达川区石板镇石河村1组113号</v>
          </cell>
        </row>
        <row r="397">
          <cell r="R397" t="str">
            <v>51302119510401044744</v>
          </cell>
          <cell r="S397" t="str">
            <v>肢体</v>
          </cell>
          <cell r="T397" t="str">
            <v>四级</v>
          </cell>
          <cell r="U397" t="str">
            <v>肢体四级;</v>
          </cell>
        </row>
        <row r="398">
          <cell r="B398" t="str">
            <v>513021194207090457</v>
          </cell>
          <cell r="C398" t="str">
            <v>男</v>
          </cell>
          <cell r="D398" t="str">
            <v>汉族</v>
          </cell>
          <cell r="E398" t="str">
            <v>高中</v>
          </cell>
          <cell r="F398" t="str">
            <v>已婚</v>
          </cell>
          <cell r="G398" t="str">
            <v>农业</v>
          </cell>
        </row>
        <row r="398">
          <cell r="I398" t="str">
            <v>18657569361</v>
          </cell>
          <cell r="J398" t="str">
            <v>石板街道</v>
          </cell>
          <cell r="K398" t="str">
            <v>金刚村</v>
          </cell>
          <cell r="L398" t="str">
            <v>四川省达州市达川区石板镇石河村4组</v>
          </cell>
          <cell r="M398" t="str">
            <v>四川省达州市达川区石板镇石河村4组</v>
          </cell>
        </row>
        <row r="398">
          <cell r="R398" t="str">
            <v>51302119420709045742</v>
          </cell>
          <cell r="S398" t="str">
            <v>肢体</v>
          </cell>
          <cell r="T398" t="str">
            <v>二级</v>
          </cell>
          <cell r="U398" t="str">
            <v>肢体二级;</v>
          </cell>
        </row>
        <row r="399">
          <cell r="B399" t="str">
            <v>51302119380212045X</v>
          </cell>
          <cell r="C399" t="str">
            <v>男</v>
          </cell>
          <cell r="D399" t="str">
            <v>汉族</v>
          </cell>
          <cell r="E399" t="str">
            <v>文盲</v>
          </cell>
          <cell r="F399" t="str">
            <v>已婚</v>
          </cell>
          <cell r="G399" t="str">
            <v>农业</v>
          </cell>
        </row>
        <row r="399">
          <cell r="I399" t="str">
            <v>18381965735</v>
          </cell>
          <cell r="J399" t="str">
            <v>石板街道</v>
          </cell>
          <cell r="K399" t="str">
            <v>金刚村</v>
          </cell>
          <cell r="L399" t="str">
            <v>四川省达州市达川区石板街道金刚村8组</v>
          </cell>
          <cell r="M399" t="str">
            <v>四川省达州市达川区石板街道金刚村8组</v>
          </cell>
          <cell r="N399" t="str">
            <v>郑家碧</v>
          </cell>
          <cell r="O399" t="str">
            <v>配偶</v>
          </cell>
        </row>
        <row r="399">
          <cell r="Q399" t="str">
            <v>18381965735</v>
          </cell>
          <cell r="R399" t="str">
            <v>51302119380212045X53</v>
          </cell>
          <cell r="S399" t="str">
            <v>智力</v>
          </cell>
          <cell r="T399" t="str">
            <v>三级</v>
          </cell>
          <cell r="U399" t="str">
            <v>智力三级;</v>
          </cell>
        </row>
        <row r="400">
          <cell r="B400" t="str">
            <v>513021193609100457</v>
          </cell>
          <cell r="C400" t="str">
            <v>男</v>
          </cell>
          <cell r="D400" t="str">
            <v>汉族</v>
          </cell>
          <cell r="E400" t="str">
            <v>小学</v>
          </cell>
          <cell r="F400" t="str">
            <v>未婚</v>
          </cell>
          <cell r="G400" t="str">
            <v>农业</v>
          </cell>
        </row>
        <row r="400">
          <cell r="I400" t="str">
            <v>0000000000</v>
          </cell>
          <cell r="J400" t="str">
            <v>石板街道</v>
          </cell>
          <cell r="K400" t="str">
            <v>金刚村</v>
          </cell>
          <cell r="L400" t="str">
            <v>四川省达州市达川区石板镇石河村2组</v>
          </cell>
          <cell r="M400" t="str">
            <v>四川省达州市达川区石板镇石河村2组</v>
          </cell>
        </row>
        <row r="400">
          <cell r="R400" t="str">
            <v>51302119360910045723</v>
          </cell>
          <cell r="S400" t="str">
            <v>听力</v>
          </cell>
          <cell r="T400" t="str">
            <v>三级</v>
          </cell>
          <cell r="U400" t="str">
            <v>听力三级;</v>
          </cell>
        </row>
        <row r="401">
          <cell r="B401" t="str">
            <v>511721201206155713</v>
          </cell>
          <cell r="C401" t="str">
            <v>男</v>
          </cell>
          <cell r="D401" t="str">
            <v>汉族</v>
          </cell>
          <cell r="E401" t="str">
            <v>文盲</v>
          </cell>
          <cell r="F401" t="str">
            <v>已婚</v>
          </cell>
          <cell r="G401" t="str">
            <v>农业</v>
          </cell>
        </row>
        <row r="401">
          <cell r="I401" t="str">
            <v>13281716025</v>
          </cell>
          <cell r="J401" t="str">
            <v>石板街道</v>
          </cell>
          <cell r="K401" t="str">
            <v>金刚村</v>
          </cell>
          <cell r="L401" t="str">
            <v>四川省达县石板镇石河村1组44号</v>
          </cell>
          <cell r="M401" t="str">
            <v>四川省达州市达川区石板镇石河村1组44号</v>
          </cell>
          <cell r="N401" t="str">
            <v>吴厚强</v>
          </cell>
          <cell r="O401" t="str">
            <v>父母</v>
          </cell>
        </row>
        <row r="401">
          <cell r="Q401" t="str">
            <v>13281716025</v>
          </cell>
          <cell r="R401" t="str">
            <v>51172120120615571313</v>
          </cell>
          <cell r="S401" t="str">
            <v>视力</v>
          </cell>
          <cell r="T401" t="str">
            <v>三级</v>
          </cell>
          <cell r="U401" t="str">
            <v>视力三级;</v>
          </cell>
        </row>
        <row r="402">
          <cell r="B402" t="str">
            <v>513021197407050971</v>
          </cell>
          <cell r="C402" t="str">
            <v>男</v>
          </cell>
          <cell r="D402" t="str">
            <v>汉族</v>
          </cell>
          <cell r="E402" t="str">
            <v>初中</v>
          </cell>
          <cell r="F402" t="str">
            <v>已婚</v>
          </cell>
          <cell r="G402" t="str">
            <v>农业</v>
          </cell>
        </row>
        <row r="402">
          <cell r="I402" t="str">
            <v>13036622082</v>
          </cell>
          <cell r="J402" t="str">
            <v>石板街道</v>
          </cell>
          <cell r="K402" t="str">
            <v>金刚村</v>
          </cell>
          <cell r="L402" t="str">
            <v>四川省达州市达川区石板镇金刚村6组</v>
          </cell>
          <cell r="M402" t="str">
            <v>四川省达州市达川区石板镇金刚村6组</v>
          </cell>
        </row>
        <row r="402">
          <cell r="R402" t="str">
            <v>51302119740705097142</v>
          </cell>
          <cell r="S402" t="str">
            <v>肢体</v>
          </cell>
          <cell r="T402" t="str">
            <v>二级</v>
          </cell>
          <cell r="U402" t="str">
            <v>肢体二级;</v>
          </cell>
        </row>
        <row r="403">
          <cell r="B403" t="str">
            <v>513021199212120465</v>
          </cell>
          <cell r="C403" t="str">
            <v>女</v>
          </cell>
          <cell r="D403" t="str">
            <v>汉族</v>
          </cell>
          <cell r="E403" t="str">
            <v>文盲</v>
          </cell>
          <cell r="F403" t="str">
            <v>已婚</v>
          </cell>
          <cell r="G403" t="str">
            <v>农业</v>
          </cell>
        </row>
        <row r="403">
          <cell r="I403" t="str">
            <v>18989174217</v>
          </cell>
          <cell r="J403" t="str">
            <v>石板街道</v>
          </cell>
          <cell r="K403" t="str">
            <v>金刚村</v>
          </cell>
          <cell r="L403" t="str">
            <v>四川省达州市达川区石板镇石河村4组400号</v>
          </cell>
          <cell r="M403" t="str">
            <v>四川省达州市达川区石板镇石河村4组400号</v>
          </cell>
          <cell r="N403" t="str">
            <v>雷强</v>
          </cell>
          <cell r="O403" t="str">
            <v>配偶</v>
          </cell>
        </row>
        <row r="403">
          <cell r="Q403" t="str">
            <v>18989174217</v>
          </cell>
          <cell r="R403" t="str">
            <v>51302119921212046562</v>
          </cell>
          <cell r="S403" t="str">
            <v>精神</v>
          </cell>
          <cell r="T403" t="str">
            <v>二级</v>
          </cell>
          <cell r="U403" t="str">
            <v>精神二级;</v>
          </cell>
        </row>
        <row r="404">
          <cell r="B404" t="str">
            <v>513021196101210966</v>
          </cell>
          <cell r="C404" t="str">
            <v>女</v>
          </cell>
          <cell r="D404" t="str">
            <v>汉族</v>
          </cell>
          <cell r="E404" t="str">
            <v>小学</v>
          </cell>
          <cell r="F404" t="str">
            <v>已婚</v>
          </cell>
          <cell r="G404" t="str">
            <v>农业</v>
          </cell>
        </row>
        <row r="404">
          <cell r="I404" t="str">
            <v>18782838685</v>
          </cell>
          <cell r="J404" t="str">
            <v>石板街道</v>
          </cell>
          <cell r="K404" t="str">
            <v>金刚村</v>
          </cell>
          <cell r="L404" t="str">
            <v>四川省达州市达川区石板镇金刚村1组4号</v>
          </cell>
          <cell r="M404" t="str">
            <v>四川省达州市达川区石板镇金刚村1组4号</v>
          </cell>
        </row>
        <row r="404">
          <cell r="R404" t="str">
            <v>51302119610121096624</v>
          </cell>
          <cell r="S404" t="str">
            <v>听力</v>
          </cell>
          <cell r="T404" t="str">
            <v>四级</v>
          </cell>
          <cell r="U404" t="str">
            <v>听力四级;</v>
          </cell>
        </row>
        <row r="405">
          <cell r="B405" t="str">
            <v>513021197302153026</v>
          </cell>
          <cell r="C405" t="str">
            <v>女</v>
          </cell>
          <cell r="D405" t="str">
            <v>汉族</v>
          </cell>
          <cell r="E405" t="str">
            <v>初中</v>
          </cell>
          <cell r="F405" t="str">
            <v>已婚</v>
          </cell>
          <cell r="G405" t="str">
            <v>农业</v>
          </cell>
        </row>
        <row r="405">
          <cell r="I405" t="str">
            <v>15183571637</v>
          </cell>
          <cell r="J405" t="str">
            <v>石板街道</v>
          </cell>
          <cell r="K405" t="str">
            <v>金刚村</v>
          </cell>
          <cell r="L405" t="str">
            <v>四川省达州市达川区石板街道金刚村5组</v>
          </cell>
          <cell r="M405" t="str">
            <v>四川省达州市达川区石板街道金刚村5组</v>
          </cell>
          <cell r="N405" t="str">
            <v>陈杰</v>
          </cell>
          <cell r="O405" t="str">
            <v>配偶</v>
          </cell>
        </row>
        <row r="405">
          <cell r="Q405" t="str">
            <v>15183571637</v>
          </cell>
          <cell r="R405" t="str">
            <v>51302119730215302663</v>
          </cell>
          <cell r="S405" t="str">
            <v>精神</v>
          </cell>
          <cell r="T405" t="str">
            <v>三级</v>
          </cell>
          <cell r="U405" t="str">
            <v>精神三级;</v>
          </cell>
        </row>
        <row r="406">
          <cell r="B406" t="str">
            <v>513021198610300467</v>
          </cell>
          <cell r="C406" t="str">
            <v>女</v>
          </cell>
          <cell r="D406" t="str">
            <v>汉族</v>
          </cell>
          <cell r="E406" t="str">
            <v>小学</v>
          </cell>
          <cell r="F406" t="str">
            <v>未婚</v>
          </cell>
          <cell r="G406" t="str">
            <v>农业</v>
          </cell>
        </row>
        <row r="406">
          <cell r="I406" t="str">
            <v>18282947908</v>
          </cell>
          <cell r="J406" t="str">
            <v>石板街道</v>
          </cell>
          <cell r="K406" t="str">
            <v>金刚村</v>
          </cell>
          <cell r="L406" t="str">
            <v>四川省达州市达川区石板镇石河村3组</v>
          </cell>
          <cell r="M406" t="str">
            <v>四川省达县石板镇石河村3组</v>
          </cell>
        </row>
        <row r="406">
          <cell r="R406" t="str">
            <v>51302119861030046724</v>
          </cell>
          <cell r="S406" t="str">
            <v>听力</v>
          </cell>
          <cell r="T406" t="str">
            <v>四级</v>
          </cell>
          <cell r="U406" t="str">
            <v>听力四级;</v>
          </cell>
        </row>
        <row r="407">
          <cell r="B407" t="str">
            <v>513021197109030470</v>
          </cell>
          <cell r="C407" t="str">
            <v>男</v>
          </cell>
          <cell r="D407" t="str">
            <v>汉族</v>
          </cell>
          <cell r="E407" t="str">
            <v>初中</v>
          </cell>
          <cell r="F407" t="str">
            <v>未婚</v>
          </cell>
          <cell r="G407" t="str">
            <v>农业</v>
          </cell>
        </row>
        <row r="407">
          <cell r="I407" t="str">
            <v>13713437826</v>
          </cell>
          <cell r="J407" t="str">
            <v>石板街道</v>
          </cell>
          <cell r="K407" t="str">
            <v>金刚村</v>
          </cell>
          <cell r="L407" t="str">
            <v>四川省达州市达川区石板街道金刚村5组</v>
          </cell>
          <cell r="M407" t="str">
            <v>四川省达州市达川区石板街道金刚村5组</v>
          </cell>
          <cell r="N407" t="str">
            <v>蒋天玉</v>
          </cell>
          <cell r="O407" t="str">
            <v>父母</v>
          </cell>
        </row>
        <row r="407">
          <cell r="Q407" t="str">
            <v>13713437826</v>
          </cell>
          <cell r="R407" t="str">
            <v>51302119710903047064</v>
          </cell>
          <cell r="S407" t="str">
            <v>精神</v>
          </cell>
          <cell r="T407" t="str">
            <v>四级</v>
          </cell>
          <cell r="U407" t="str">
            <v>精神四级;</v>
          </cell>
        </row>
        <row r="408">
          <cell r="B408" t="str">
            <v>513021196304130501</v>
          </cell>
          <cell r="C408" t="str">
            <v>女</v>
          </cell>
          <cell r="D408" t="str">
            <v>汉族</v>
          </cell>
          <cell r="E408" t="str">
            <v>初中</v>
          </cell>
          <cell r="F408" t="str">
            <v>已婚</v>
          </cell>
          <cell r="G408" t="str">
            <v>农业</v>
          </cell>
        </row>
        <row r="408">
          <cell r="I408" t="str">
            <v>15884723098</v>
          </cell>
          <cell r="J408" t="str">
            <v>石板街道</v>
          </cell>
          <cell r="K408" t="str">
            <v>金刚村</v>
          </cell>
          <cell r="L408" t="str">
            <v>四川省达州市达川区石板街道金刚村8组</v>
          </cell>
          <cell r="M408" t="str">
            <v>四川省达州市达川区石板街道金刚村8组</v>
          </cell>
          <cell r="N408" t="str">
            <v>肖大云</v>
          </cell>
          <cell r="O408" t="str">
            <v>配偶</v>
          </cell>
        </row>
        <row r="408">
          <cell r="Q408" t="str">
            <v>15182892674</v>
          </cell>
          <cell r="R408" t="str">
            <v>51302119630413050161</v>
          </cell>
          <cell r="S408" t="str">
            <v>精神</v>
          </cell>
          <cell r="T408" t="str">
            <v>一级</v>
          </cell>
          <cell r="U408" t="str">
            <v>精神一级;</v>
          </cell>
        </row>
        <row r="409">
          <cell r="B409" t="str">
            <v>513021196901270457</v>
          </cell>
          <cell r="C409" t="str">
            <v>男</v>
          </cell>
          <cell r="D409" t="str">
            <v>汉族</v>
          </cell>
          <cell r="E409" t="str">
            <v>初中</v>
          </cell>
          <cell r="F409" t="str">
            <v>已婚</v>
          </cell>
          <cell r="G409" t="str">
            <v>农业</v>
          </cell>
        </row>
        <row r="409">
          <cell r="I409" t="str">
            <v>15228003580</v>
          </cell>
          <cell r="J409" t="str">
            <v>石板街道</v>
          </cell>
          <cell r="K409" t="str">
            <v>金刚村</v>
          </cell>
          <cell r="L409" t="str">
            <v>四川省达州市达川区石板镇石河村４组３９３号</v>
          </cell>
          <cell r="M409" t="str">
            <v>四川省达县石板镇石河村４组３９３号</v>
          </cell>
        </row>
        <row r="409">
          <cell r="R409" t="str">
            <v>51302119690127045744B1</v>
          </cell>
          <cell r="S409" t="str">
            <v>肢体</v>
          </cell>
          <cell r="T409" t="str">
            <v>四级</v>
          </cell>
          <cell r="U409" t="str">
            <v>肢体四级;</v>
          </cell>
        </row>
        <row r="410">
          <cell r="B410" t="str">
            <v>513021195808280453</v>
          </cell>
          <cell r="C410" t="str">
            <v>男</v>
          </cell>
          <cell r="D410" t="str">
            <v>汉族</v>
          </cell>
          <cell r="E410" t="str">
            <v>高中</v>
          </cell>
          <cell r="F410" t="str">
            <v>已婚</v>
          </cell>
          <cell r="G410" t="str">
            <v>农业</v>
          </cell>
        </row>
        <row r="410">
          <cell r="I410" t="str">
            <v>18282922918</v>
          </cell>
          <cell r="J410" t="str">
            <v>石板街道</v>
          </cell>
          <cell r="K410" t="str">
            <v>金刚村</v>
          </cell>
          <cell r="L410" t="str">
            <v>四川省达州市达川区石板街道金刚村1组</v>
          </cell>
          <cell r="M410" t="str">
            <v>四川省达州市达川区石板街道金刚村1组</v>
          </cell>
        </row>
        <row r="410">
          <cell r="R410" t="str">
            <v>51302119580828045344</v>
          </cell>
          <cell r="S410" t="str">
            <v>肢体</v>
          </cell>
          <cell r="T410" t="str">
            <v>四级</v>
          </cell>
          <cell r="U410" t="str">
            <v>肢体四级;</v>
          </cell>
        </row>
        <row r="411">
          <cell r="B411" t="str">
            <v>513021195612120976</v>
          </cell>
          <cell r="C411" t="str">
            <v>男</v>
          </cell>
          <cell r="D411" t="str">
            <v>汉族</v>
          </cell>
          <cell r="E411" t="str">
            <v>小学</v>
          </cell>
          <cell r="F411" t="str">
            <v>已婚</v>
          </cell>
          <cell r="G411" t="str">
            <v>农业</v>
          </cell>
        </row>
        <row r="411">
          <cell r="I411" t="str">
            <v>18781867997</v>
          </cell>
          <cell r="J411" t="str">
            <v>石板街道</v>
          </cell>
          <cell r="K411" t="str">
            <v>金刚村</v>
          </cell>
          <cell r="L411" t="str">
            <v>四川省达州市达川区石板镇金刚村6组</v>
          </cell>
          <cell r="M411" t="str">
            <v>四川省达县石板镇金刚村6组</v>
          </cell>
        </row>
        <row r="411">
          <cell r="R411" t="str">
            <v>51302119561212097644</v>
          </cell>
          <cell r="S411" t="str">
            <v>肢体</v>
          </cell>
          <cell r="T411" t="str">
            <v>四级</v>
          </cell>
          <cell r="U411" t="str">
            <v>肢体四级;</v>
          </cell>
        </row>
        <row r="412">
          <cell r="B412" t="str">
            <v>513021194704140451</v>
          </cell>
          <cell r="C412" t="str">
            <v>男</v>
          </cell>
          <cell r="D412" t="str">
            <v>汉族</v>
          </cell>
          <cell r="E412" t="str">
            <v>小学</v>
          </cell>
          <cell r="F412" t="str">
            <v>已婚</v>
          </cell>
          <cell r="G412" t="str">
            <v>农业</v>
          </cell>
        </row>
        <row r="412">
          <cell r="I412" t="str">
            <v>15681451248</v>
          </cell>
          <cell r="J412" t="str">
            <v>石板街道</v>
          </cell>
          <cell r="K412" t="str">
            <v>金刚村</v>
          </cell>
          <cell r="L412" t="str">
            <v>四川省达州市达川区石板街道金刚村3组</v>
          </cell>
          <cell r="M412" t="str">
            <v>四川省达州市达川区石板街道金刚村3组</v>
          </cell>
        </row>
        <row r="412">
          <cell r="R412" t="str">
            <v>51302119470414045142</v>
          </cell>
          <cell r="S412" t="str">
            <v>肢体</v>
          </cell>
          <cell r="T412" t="str">
            <v>二级</v>
          </cell>
          <cell r="U412" t="str">
            <v>肢体二级;</v>
          </cell>
        </row>
        <row r="413">
          <cell r="B413" t="str">
            <v>513021196911260455</v>
          </cell>
          <cell r="C413" t="str">
            <v>男</v>
          </cell>
          <cell r="D413" t="str">
            <v>汉族</v>
          </cell>
          <cell r="E413" t="str">
            <v>高中</v>
          </cell>
          <cell r="F413" t="str">
            <v>已婚</v>
          </cell>
          <cell r="G413" t="str">
            <v>农业</v>
          </cell>
        </row>
        <row r="413">
          <cell r="I413" t="str">
            <v>000000000</v>
          </cell>
          <cell r="J413" t="str">
            <v>石板街道</v>
          </cell>
          <cell r="K413" t="str">
            <v>金刚村</v>
          </cell>
          <cell r="L413" t="str">
            <v>四川省达县石板镇石河村4组</v>
          </cell>
          <cell r="M413" t="str">
            <v>四川省达县石板镇石河村4组</v>
          </cell>
        </row>
        <row r="413">
          <cell r="R413" t="str">
            <v>51302119691126045524</v>
          </cell>
          <cell r="S413" t="str">
            <v>听力</v>
          </cell>
          <cell r="T413" t="str">
            <v>四级</v>
          </cell>
          <cell r="U413" t="str">
            <v>听力四级;</v>
          </cell>
        </row>
        <row r="414">
          <cell r="B414" t="str">
            <v>513021198002070979</v>
          </cell>
          <cell r="C414" t="str">
            <v>男</v>
          </cell>
          <cell r="D414" t="str">
            <v>汉族</v>
          </cell>
          <cell r="E414" t="str">
            <v>初中</v>
          </cell>
          <cell r="F414" t="str">
            <v>未婚</v>
          </cell>
          <cell r="G414" t="str">
            <v>农业</v>
          </cell>
        </row>
        <row r="414">
          <cell r="I414" t="str">
            <v>18282901695</v>
          </cell>
          <cell r="J414" t="str">
            <v>石板街道</v>
          </cell>
          <cell r="K414" t="str">
            <v>金刚村</v>
          </cell>
          <cell r="L414" t="str">
            <v>四川省达州市达川区石板街道金刚村5组209号</v>
          </cell>
          <cell r="M414" t="str">
            <v>四川省达州市达川区石板街道金刚村5组209号</v>
          </cell>
          <cell r="N414" t="str">
            <v>唐明生</v>
          </cell>
          <cell r="O414" t="str">
            <v>父母</v>
          </cell>
        </row>
        <row r="414">
          <cell r="Q414" t="str">
            <v>18282901695</v>
          </cell>
          <cell r="R414" t="str">
            <v>51302119800207097953</v>
          </cell>
          <cell r="S414" t="str">
            <v>智力</v>
          </cell>
          <cell r="T414" t="str">
            <v>三级</v>
          </cell>
          <cell r="U414" t="str">
            <v>智力三级;</v>
          </cell>
        </row>
        <row r="415">
          <cell r="B415" t="str">
            <v>513021194306290446</v>
          </cell>
          <cell r="C415" t="str">
            <v>女</v>
          </cell>
          <cell r="D415" t="str">
            <v>汉族</v>
          </cell>
          <cell r="E415" t="str">
            <v>小学</v>
          </cell>
          <cell r="F415" t="str">
            <v>已婚</v>
          </cell>
          <cell r="G415" t="str">
            <v>农业</v>
          </cell>
        </row>
        <row r="415">
          <cell r="I415" t="str">
            <v>15583786232</v>
          </cell>
          <cell r="J415" t="str">
            <v>石板街道</v>
          </cell>
          <cell r="K415" t="str">
            <v>金刚村</v>
          </cell>
          <cell r="L415" t="str">
            <v>四川省达州市达川区石板街道金刚村１组２号</v>
          </cell>
          <cell r="M415" t="str">
            <v>四川省达州市达川区石板街道金刚村１组２号</v>
          </cell>
        </row>
        <row r="415">
          <cell r="R415" t="str">
            <v>51302119430629044641</v>
          </cell>
          <cell r="S415" t="str">
            <v>肢体</v>
          </cell>
          <cell r="T415" t="str">
            <v>一级</v>
          </cell>
          <cell r="U415" t="str">
            <v>肢体一级;</v>
          </cell>
        </row>
        <row r="416">
          <cell r="B416" t="str">
            <v>513021196305030967</v>
          </cell>
          <cell r="C416" t="str">
            <v>女</v>
          </cell>
          <cell r="D416" t="str">
            <v>汉族</v>
          </cell>
          <cell r="E416" t="str">
            <v>小学</v>
          </cell>
          <cell r="F416" t="str">
            <v>已婚</v>
          </cell>
          <cell r="G416" t="str">
            <v>农业</v>
          </cell>
        </row>
        <row r="416">
          <cell r="I416" t="str">
            <v>15884720536</v>
          </cell>
          <cell r="J416" t="str">
            <v>石板街道</v>
          </cell>
          <cell r="K416" t="str">
            <v>金刚村</v>
          </cell>
          <cell r="L416" t="str">
            <v>四川省达州市达川区石板镇金刚村3组</v>
          </cell>
          <cell r="M416" t="str">
            <v>四川省达州市达川区石板镇金刚村3组</v>
          </cell>
        </row>
        <row r="416">
          <cell r="R416" t="str">
            <v>51302119630503096743</v>
          </cell>
          <cell r="S416" t="str">
            <v>肢体</v>
          </cell>
          <cell r="T416" t="str">
            <v>三级</v>
          </cell>
          <cell r="U416" t="str">
            <v>肢体三级;</v>
          </cell>
        </row>
        <row r="417">
          <cell r="B417" t="str">
            <v>51302119431004044X</v>
          </cell>
          <cell r="C417" t="str">
            <v>女</v>
          </cell>
          <cell r="D417" t="str">
            <v>汉族</v>
          </cell>
          <cell r="E417" t="str">
            <v>小学</v>
          </cell>
          <cell r="F417" t="str">
            <v>丧偶</v>
          </cell>
          <cell r="G417" t="str">
            <v>农业</v>
          </cell>
        </row>
        <row r="417">
          <cell r="I417" t="str">
            <v>13551405249</v>
          </cell>
          <cell r="J417" t="str">
            <v>石板街道</v>
          </cell>
          <cell r="K417" t="str">
            <v>金刚村</v>
          </cell>
          <cell r="L417" t="str">
            <v>四川省达县石板镇石河村3组</v>
          </cell>
          <cell r="M417" t="str">
            <v>四川省达县石板镇石河村3组</v>
          </cell>
        </row>
        <row r="417">
          <cell r="R417" t="str">
            <v>51302119431004044X13</v>
          </cell>
          <cell r="S417" t="str">
            <v>视力</v>
          </cell>
          <cell r="T417" t="str">
            <v>三级</v>
          </cell>
          <cell r="U417" t="str">
            <v>视力三级;</v>
          </cell>
        </row>
        <row r="418">
          <cell r="B418" t="str">
            <v>513021197209120975</v>
          </cell>
          <cell r="C418" t="str">
            <v>男</v>
          </cell>
          <cell r="D418" t="str">
            <v>汉族</v>
          </cell>
          <cell r="E418" t="str">
            <v>小学</v>
          </cell>
          <cell r="F418" t="str">
            <v>未婚</v>
          </cell>
          <cell r="G418" t="str">
            <v>农业</v>
          </cell>
        </row>
        <row r="418">
          <cell r="I418" t="str">
            <v>18481904211</v>
          </cell>
          <cell r="J418" t="str">
            <v>石板街道</v>
          </cell>
          <cell r="K418" t="str">
            <v>金刚村</v>
          </cell>
          <cell r="L418" t="str">
            <v>四川省达州市达川区石板镇金刚村７组１９５号</v>
          </cell>
          <cell r="M418" t="str">
            <v>四川省达县石板镇金刚村７组１９５号</v>
          </cell>
        </row>
        <row r="418">
          <cell r="R418" t="str">
            <v>51302119720912097544</v>
          </cell>
          <cell r="S418" t="str">
            <v>肢体</v>
          </cell>
          <cell r="T418" t="str">
            <v>四级</v>
          </cell>
          <cell r="U418" t="str">
            <v>肢体四级;</v>
          </cell>
        </row>
        <row r="419">
          <cell r="B419" t="str">
            <v>513021199009060970</v>
          </cell>
          <cell r="C419" t="str">
            <v>男</v>
          </cell>
          <cell r="D419" t="str">
            <v>汉族</v>
          </cell>
          <cell r="E419" t="str">
            <v>小学</v>
          </cell>
          <cell r="F419" t="str">
            <v>未婚</v>
          </cell>
          <cell r="G419" t="str">
            <v>农业</v>
          </cell>
        </row>
        <row r="419">
          <cell r="I419" t="str">
            <v>18780845545</v>
          </cell>
          <cell r="J419" t="str">
            <v>石板街道</v>
          </cell>
          <cell r="K419" t="str">
            <v>金刚村</v>
          </cell>
          <cell r="L419" t="str">
            <v>四川省达州市达川区石板街道金刚村5组</v>
          </cell>
          <cell r="M419" t="str">
            <v>四川省达州市达川区石板街道金刚村5组</v>
          </cell>
          <cell r="N419" t="str">
            <v>何安勤</v>
          </cell>
          <cell r="O419" t="str">
            <v>父母</v>
          </cell>
        </row>
        <row r="419">
          <cell r="Q419" t="str">
            <v>18780845545</v>
          </cell>
          <cell r="R419" t="str">
            <v>51302119900906097053</v>
          </cell>
          <cell r="S419" t="str">
            <v>智力</v>
          </cell>
          <cell r="T419" t="str">
            <v>三级</v>
          </cell>
          <cell r="U419" t="str">
            <v>智力三级;</v>
          </cell>
        </row>
        <row r="420">
          <cell r="B420" t="str">
            <v>513021194201100976</v>
          </cell>
          <cell r="C420" t="str">
            <v>男</v>
          </cell>
          <cell r="D420" t="str">
            <v>汉族</v>
          </cell>
          <cell r="E420" t="str">
            <v>小学</v>
          </cell>
          <cell r="F420" t="str">
            <v>已婚</v>
          </cell>
          <cell r="G420" t="str">
            <v>农业</v>
          </cell>
        </row>
        <row r="420">
          <cell r="I420" t="str">
            <v>18282270251</v>
          </cell>
          <cell r="J420" t="str">
            <v>石板街道</v>
          </cell>
          <cell r="K420" t="str">
            <v>金刚村</v>
          </cell>
          <cell r="L420" t="str">
            <v>四川省达州市达川区石板镇金刚村３组１１９号</v>
          </cell>
          <cell r="M420" t="str">
            <v>四川省达县石板镇金刚村３组１１９号</v>
          </cell>
        </row>
        <row r="420">
          <cell r="R420" t="str">
            <v>51302119420110097644</v>
          </cell>
          <cell r="S420" t="str">
            <v>肢体</v>
          </cell>
          <cell r="T420" t="str">
            <v>四级</v>
          </cell>
          <cell r="U420" t="str">
            <v>肢体四级;</v>
          </cell>
        </row>
        <row r="421">
          <cell r="B421" t="str">
            <v>513021199011230457</v>
          </cell>
          <cell r="C421" t="str">
            <v>男</v>
          </cell>
          <cell r="D421" t="str">
            <v>汉族</v>
          </cell>
          <cell r="E421" t="str">
            <v>小学</v>
          </cell>
          <cell r="F421" t="str">
            <v>未婚</v>
          </cell>
          <cell r="G421" t="str">
            <v>农业</v>
          </cell>
        </row>
        <row r="421">
          <cell r="I421" t="str">
            <v>13408194389</v>
          </cell>
          <cell r="J421" t="str">
            <v>石板街道</v>
          </cell>
          <cell r="K421" t="str">
            <v>金刚村</v>
          </cell>
          <cell r="L421" t="str">
            <v>四川省达县石板镇石河村5组</v>
          </cell>
          <cell r="M421" t="str">
            <v>四川省达县石板镇石河村5组</v>
          </cell>
        </row>
        <row r="421">
          <cell r="R421" t="str">
            <v>51302119901123045723</v>
          </cell>
          <cell r="S421" t="str">
            <v>听力</v>
          </cell>
          <cell r="T421" t="str">
            <v>三级</v>
          </cell>
          <cell r="U421" t="str">
            <v>听力三级;</v>
          </cell>
        </row>
        <row r="422">
          <cell r="B422" t="str">
            <v>513021197309060885</v>
          </cell>
          <cell r="C422" t="str">
            <v>女</v>
          </cell>
          <cell r="D422" t="str">
            <v>汉族</v>
          </cell>
          <cell r="E422" t="str">
            <v>小学</v>
          </cell>
          <cell r="F422" t="str">
            <v>已婚</v>
          </cell>
          <cell r="G422" t="str">
            <v>农业</v>
          </cell>
        </row>
        <row r="422">
          <cell r="I422" t="str">
            <v>13778362720</v>
          </cell>
          <cell r="J422" t="str">
            <v>石板街道</v>
          </cell>
          <cell r="K422" t="str">
            <v>金刚村</v>
          </cell>
          <cell r="L422" t="str">
            <v>四川省达州市达川区石板街道金刚村9组</v>
          </cell>
          <cell r="M422" t="str">
            <v>四川省达州市达川区石板街道金刚村9组</v>
          </cell>
          <cell r="N422" t="str">
            <v>吴学川</v>
          </cell>
          <cell r="O422" t="str">
            <v>配偶</v>
          </cell>
        </row>
        <row r="422">
          <cell r="Q422" t="str">
            <v>18398307314</v>
          </cell>
          <cell r="R422" t="str">
            <v>51302119730906088563</v>
          </cell>
          <cell r="S422" t="str">
            <v>精神</v>
          </cell>
          <cell r="T422" t="str">
            <v>三级</v>
          </cell>
          <cell r="U422" t="str">
            <v>精神三级;</v>
          </cell>
        </row>
        <row r="423">
          <cell r="B423" t="str">
            <v>513021196612020961</v>
          </cell>
          <cell r="C423" t="str">
            <v>女</v>
          </cell>
          <cell r="D423" t="str">
            <v>汉族</v>
          </cell>
          <cell r="E423" t="str">
            <v>初中</v>
          </cell>
          <cell r="F423" t="str">
            <v>已婚</v>
          </cell>
          <cell r="G423" t="str">
            <v>农业</v>
          </cell>
        </row>
        <row r="423">
          <cell r="I423" t="str">
            <v>13548289502</v>
          </cell>
          <cell r="J423" t="str">
            <v>石板街道</v>
          </cell>
          <cell r="K423" t="str">
            <v>金刚村</v>
          </cell>
          <cell r="L423" t="str">
            <v>四川省达州市达川区石板街道金刚村7组</v>
          </cell>
          <cell r="M423" t="str">
            <v>四川省达州市达川区石板街道金刚村7组</v>
          </cell>
        </row>
        <row r="423">
          <cell r="R423" t="str">
            <v>51302119661202096142</v>
          </cell>
          <cell r="S423" t="str">
            <v>肢体</v>
          </cell>
          <cell r="T423" t="str">
            <v>二级</v>
          </cell>
          <cell r="U423" t="str">
            <v>肢体二级;</v>
          </cell>
        </row>
        <row r="424">
          <cell r="B424" t="str">
            <v>513021194803230970</v>
          </cell>
          <cell r="C424" t="str">
            <v>男</v>
          </cell>
          <cell r="D424" t="str">
            <v>汉族</v>
          </cell>
          <cell r="E424" t="str">
            <v>小学</v>
          </cell>
          <cell r="F424" t="str">
            <v>已婚</v>
          </cell>
          <cell r="G424" t="str">
            <v>农业</v>
          </cell>
        </row>
        <row r="424">
          <cell r="I424" t="str">
            <v>13982886389</v>
          </cell>
          <cell r="J424" t="str">
            <v>石板街道</v>
          </cell>
          <cell r="K424" t="str">
            <v>金刚村</v>
          </cell>
          <cell r="L424" t="str">
            <v>四川省达州市达川区石板街道金刚村６组１４４号</v>
          </cell>
          <cell r="M424" t="str">
            <v>四川省达州市达川区石板街道金刚村６组１４４号</v>
          </cell>
        </row>
        <row r="424">
          <cell r="R424" t="str">
            <v>51302119480323097044</v>
          </cell>
          <cell r="S424" t="str">
            <v>肢体</v>
          </cell>
          <cell r="T424" t="str">
            <v>四级</v>
          </cell>
          <cell r="U424" t="str">
            <v>肢体四级;</v>
          </cell>
        </row>
        <row r="425">
          <cell r="B425" t="str">
            <v>513021196510240963</v>
          </cell>
          <cell r="C425" t="str">
            <v>女</v>
          </cell>
          <cell r="D425" t="str">
            <v>汉族</v>
          </cell>
          <cell r="E425" t="str">
            <v>初中</v>
          </cell>
          <cell r="F425" t="str">
            <v>已婚</v>
          </cell>
          <cell r="G425" t="str">
            <v>农业</v>
          </cell>
        </row>
        <row r="425">
          <cell r="I425" t="str">
            <v>18781885893</v>
          </cell>
          <cell r="J425" t="str">
            <v>石板街道</v>
          </cell>
          <cell r="K425" t="str">
            <v>金刚村</v>
          </cell>
          <cell r="L425" t="str">
            <v>四川省达州市达川区石板镇金刚村３组１１２号</v>
          </cell>
          <cell r="M425" t="str">
            <v>四川省达县石板镇金刚村３组１１２号</v>
          </cell>
          <cell r="N425" t="str">
            <v>蒲忠华</v>
          </cell>
          <cell r="O425" t="str">
            <v>配偶</v>
          </cell>
        </row>
        <row r="425">
          <cell r="Q425" t="str">
            <v>18781885893</v>
          </cell>
          <cell r="R425" t="str">
            <v>51302119651024096363</v>
          </cell>
          <cell r="S425" t="str">
            <v>精神</v>
          </cell>
          <cell r="T425" t="str">
            <v>三级</v>
          </cell>
          <cell r="U425" t="str">
            <v>精神三级;</v>
          </cell>
        </row>
        <row r="426">
          <cell r="B426" t="str">
            <v>513021194101060444</v>
          </cell>
          <cell r="C426" t="str">
            <v>女</v>
          </cell>
          <cell r="D426" t="str">
            <v>汉族</v>
          </cell>
          <cell r="E426" t="str">
            <v>文盲</v>
          </cell>
          <cell r="F426" t="str">
            <v>已婚</v>
          </cell>
          <cell r="G426" t="str">
            <v>农业</v>
          </cell>
        </row>
        <row r="426">
          <cell r="I426" t="str">
            <v>18381965735</v>
          </cell>
          <cell r="J426" t="str">
            <v>石板街道</v>
          </cell>
          <cell r="K426" t="str">
            <v>金刚村</v>
          </cell>
          <cell r="L426" t="str">
            <v>四川省达州市达川区石板镇石河村4组</v>
          </cell>
          <cell r="M426" t="str">
            <v>四川省达州市达川区石板镇石河村4组</v>
          </cell>
        </row>
        <row r="426">
          <cell r="R426" t="str">
            <v>51302119410106044413</v>
          </cell>
          <cell r="S426" t="str">
            <v>视力</v>
          </cell>
          <cell r="T426" t="str">
            <v>三级</v>
          </cell>
          <cell r="U426" t="str">
            <v>视力三级;</v>
          </cell>
        </row>
        <row r="427">
          <cell r="B427" t="str">
            <v>513021195811240970</v>
          </cell>
          <cell r="C427" t="str">
            <v>男</v>
          </cell>
          <cell r="D427" t="str">
            <v>汉族</v>
          </cell>
          <cell r="E427" t="str">
            <v>小学</v>
          </cell>
          <cell r="F427" t="str">
            <v>已婚</v>
          </cell>
          <cell r="G427" t="str">
            <v>农业</v>
          </cell>
        </row>
        <row r="427">
          <cell r="I427" t="str">
            <v>18782838685</v>
          </cell>
          <cell r="J427" t="str">
            <v>石板街道</v>
          </cell>
          <cell r="K427" t="str">
            <v>金刚村</v>
          </cell>
          <cell r="L427" t="str">
            <v>四川省达州市达川区石板镇金刚村1组4号</v>
          </cell>
          <cell r="M427" t="str">
            <v>四川省达州市达川区石板镇金刚村1组4号</v>
          </cell>
        </row>
        <row r="427">
          <cell r="R427" t="str">
            <v>51302119581124097023</v>
          </cell>
          <cell r="S427" t="str">
            <v>听力</v>
          </cell>
          <cell r="T427" t="str">
            <v>三级</v>
          </cell>
          <cell r="U427" t="str">
            <v>听力三级;</v>
          </cell>
        </row>
        <row r="428">
          <cell r="B428" t="str">
            <v>513021196107120443</v>
          </cell>
          <cell r="C428" t="str">
            <v>女</v>
          </cell>
          <cell r="D428" t="str">
            <v>汉族</v>
          </cell>
          <cell r="E428" t="str">
            <v>小学</v>
          </cell>
          <cell r="F428" t="str">
            <v>已婚</v>
          </cell>
          <cell r="G428" t="str">
            <v>农业</v>
          </cell>
        </row>
        <row r="428">
          <cell r="I428" t="str">
            <v>18381809844</v>
          </cell>
          <cell r="J428" t="str">
            <v>石板街道</v>
          </cell>
          <cell r="K428" t="str">
            <v>金刚村</v>
          </cell>
          <cell r="L428" t="str">
            <v>四川省达州市达川区石板镇石河村5组</v>
          </cell>
          <cell r="M428" t="str">
            <v>四川省达州市达川区石板镇石河村5组</v>
          </cell>
          <cell r="N428" t="str">
            <v>柏茬华</v>
          </cell>
          <cell r="O428" t="str">
            <v>配偶</v>
          </cell>
        </row>
        <row r="428">
          <cell r="Q428" t="str">
            <v>18381809844</v>
          </cell>
          <cell r="R428" t="str">
            <v>51302119610712044352</v>
          </cell>
          <cell r="S428" t="str">
            <v>智力</v>
          </cell>
          <cell r="T428" t="str">
            <v>二级</v>
          </cell>
          <cell r="U428" t="str">
            <v>智力二级;</v>
          </cell>
        </row>
        <row r="429">
          <cell r="B429" t="str">
            <v>513021196510080971</v>
          </cell>
          <cell r="C429" t="str">
            <v>男</v>
          </cell>
          <cell r="D429" t="str">
            <v>汉族</v>
          </cell>
          <cell r="E429" t="str">
            <v>小学</v>
          </cell>
          <cell r="F429" t="str">
            <v>已婚</v>
          </cell>
          <cell r="G429" t="str">
            <v>农业</v>
          </cell>
        </row>
        <row r="429">
          <cell r="I429" t="str">
            <v>15182831513</v>
          </cell>
          <cell r="J429" t="str">
            <v>石板街道</v>
          </cell>
          <cell r="K429" t="str">
            <v>金刚村</v>
          </cell>
          <cell r="L429" t="str">
            <v>四川省达州市达川区石板街道金刚村３组１２９号</v>
          </cell>
          <cell r="M429" t="str">
            <v>四川省达州市达川区石板街道金刚村３组１２９号</v>
          </cell>
        </row>
        <row r="429">
          <cell r="R429" t="str">
            <v>51302119651008097142</v>
          </cell>
          <cell r="S429" t="str">
            <v>肢体</v>
          </cell>
          <cell r="T429" t="str">
            <v>二级</v>
          </cell>
          <cell r="U429" t="str">
            <v>肢体二级;</v>
          </cell>
        </row>
        <row r="430">
          <cell r="B430" t="str">
            <v>513021197811230966</v>
          </cell>
          <cell r="C430" t="str">
            <v>女</v>
          </cell>
          <cell r="D430" t="str">
            <v>汉族</v>
          </cell>
          <cell r="E430" t="str">
            <v>初中</v>
          </cell>
          <cell r="F430" t="str">
            <v>已婚</v>
          </cell>
          <cell r="G430" t="str">
            <v>农业</v>
          </cell>
        </row>
        <row r="430">
          <cell r="I430" t="str">
            <v>00000000</v>
          </cell>
          <cell r="J430" t="str">
            <v>石板街道</v>
          </cell>
          <cell r="K430" t="str">
            <v>金刚村</v>
          </cell>
          <cell r="L430" t="str">
            <v>四川省达县石板镇金刚村7组</v>
          </cell>
          <cell r="M430" t="str">
            <v>四川省达县石板镇金刚村7组</v>
          </cell>
        </row>
        <row r="430">
          <cell r="R430" t="str">
            <v>51302119781123096624</v>
          </cell>
          <cell r="S430" t="str">
            <v>听力</v>
          </cell>
          <cell r="T430" t="str">
            <v>四级</v>
          </cell>
          <cell r="U430" t="str">
            <v>听力四级;</v>
          </cell>
        </row>
        <row r="431">
          <cell r="B431" t="str">
            <v>513021193309140457</v>
          </cell>
          <cell r="C431" t="str">
            <v>男</v>
          </cell>
          <cell r="D431" t="str">
            <v>汉族</v>
          </cell>
          <cell r="E431" t="str">
            <v>文盲</v>
          </cell>
          <cell r="F431" t="str">
            <v>已婚</v>
          </cell>
          <cell r="G431" t="str">
            <v>农业</v>
          </cell>
        </row>
        <row r="431">
          <cell r="I431" t="str">
            <v>14726677754</v>
          </cell>
          <cell r="J431" t="str">
            <v>石板街道</v>
          </cell>
          <cell r="K431" t="str">
            <v>金刚村</v>
          </cell>
          <cell r="L431" t="str">
            <v>四川省达州市达川区石板镇石河村4组455号</v>
          </cell>
          <cell r="M431" t="str">
            <v>四川省达州市达川区石板镇石河村4组455号</v>
          </cell>
        </row>
        <row r="431">
          <cell r="R431" t="str">
            <v>51302119330914045744</v>
          </cell>
          <cell r="S431" t="str">
            <v>肢体</v>
          </cell>
          <cell r="T431" t="str">
            <v>四级</v>
          </cell>
          <cell r="U431" t="str">
            <v>肢体四级;</v>
          </cell>
        </row>
        <row r="432">
          <cell r="B432" t="str">
            <v>513021197907073029</v>
          </cell>
          <cell r="C432" t="str">
            <v>女</v>
          </cell>
          <cell r="D432" t="str">
            <v>汉族</v>
          </cell>
          <cell r="E432" t="str">
            <v>小学</v>
          </cell>
          <cell r="F432" t="str">
            <v>已婚</v>
          </cell>
          <cell r="G432" t="str">
            <v>农业</v>
          </cell>
        </row>
        <row r="432">
          <cell r="I432" t="str">
            <v>15183584441</v>
          </cell>
          <cell r="J432" t="str">
            <v>石板街道</v>
          </cell>
          <cell r="K432" t="str">
            <v>金刚村</v>
          </cell>
          <cell r="L432" t="str">
            <v>四川省达州市达川区石板街道石河村3组294号</v>
          </cell>
          <cell r="M432" t="str">
            <v>四川省达州市达川区石板街道石河村3组294号</v>
          </cell>
        </row>
        <row r="432">
          <cell r="R432" t="str">
            <v>51302119790707302913</v>
          </cell>
          <cell r="S432" t="str">
            <v>视力</v>
          </cell>
          <cell r="T432" t="str">
            <v>三级</v>
          </cell>
          <cell r="U432" t="str">
            <v>视力三级;</v>
          </cell>
        </row>
        <row r="433">
          <cell r="B433" t="str">
            <v>513021198001030449</v>
          </cell>
          <cell r="C433" t="str">
            <v>女</v>
          </cell>
          <cell r="D433" t="str">
            <v>汉族</v>
          </cell>
          <cell r="E433" t="str">
            <v>初中</v>
          </cell>
          <cell r="F433" t="str">
            <v>已婚</v>
          </cell>
          <cell r="G433" t="str">
            <v>农业</v>
          </cell>
        </row>
        <row r="433">
          <cell r="I433" t="str">
            <v>15181854419</v>
          </cell>
          <cell r="J433" t="str">
            <v>石板街道</v>
          </cell>
          <cell r="K433" t="str">
            <v>金刚村</v>
          </cell>
          <cell r="L433" t="str">
            <v>四川省达州市达川区石板街道金刚村5组</v>
          </cell>
          <cell r="M433" t="str">
            <v>四川省达州市达川区石板街道金刚村5组</v>
          </cell>
          <cell r="N433" t="str">
            <v>刘勇</v>
          </cell>
          <cell r="O433" t="str">
            <v>配偶</v>
          </cell>
        </row>
        <row r="433">
          <cell r="Q433" t="str">
            <v>13568184383</v>
          </cell>
          <cell r="R433" t="str">
            <v>51302119800103044962</v>
          </cell>
          <cell r="S433" t="str">
            <v>精神</v>
          </cell>
          <cell r="T433" t="str">
            <v>二级</v>
          </cell>
          <cell r="U433" t="str">
            <v>精神二级;</v>
          </cell>
        </row>
        <row r="434">
          <cell r="B434" t="str">
            <v>511721200512295728</v>
          </cell>
          <cell r="C434" t="str">
            <v>女</v>
          </cell>
          <cell r="D434" t="str">
            <v>汉族</v>
          </cell>
          <cell r="E434" t="str">
            <v>小学</v>
          </cell>
          <cell r="F434" t="str">
            <v>未婚</v>
          </cell>
          <cell r="G434" t="str">
            <v>农业</v>
          </cell>
        </row>
        <row r="434">
          <cell r="I434" t="str">
            <v>18481802519</v>
          </cell>
          <cell r="J434" t="str">
            <v>石板街道</v>
          </cell>
          <cell r="K434" t="str">
            <v>金刚村</v>
          </cell>
          <cell r="L434" t="str">
            <v>四川省达州市达川区石板街道金刚村3组</v>
          </cell>
          <cell r="M434" t="str">
            <v>四川省达州市达川区石板街道金刚村3组</v>
          </cell>
          <cell r="N434" t="str">
            <v>伍云辉</v>
          </cell>
          <cell r="O434" t="str">
            <v>父母</v>
          </cell>
        </row>
        <row r="434">
          <cell r="Q434" t="str">
            <v>13684230997</v>
          </cell>
          <cell r="R434" t="str">
            <v>51172120051229572844</v>
          </cell>
          <cell r="S434" t="str">
            <v>肢体</v>
          </cell>
          <cell r="T434" t="str">
            <v>四级</v>
          </cell>
          <cell r="U434" t="str">
            <v>肢体四级;</v>
          </cell>
        </row>
        <row r="435">
          <cell r="B435" t="str">
            <v>513021195202160457</v>
          </cell>
          <cell r="C435" t="str">
            <v>男</v>
          </cell>
          <cell r="D435" t="str">
            <v>汉族</v>
          </cell>
          <cell r="E435" t="str">
            <v>小学</v>
          </cell>
          <cell r="F435" t="str">
            <v>已婚</v>
          </cell>
          <cell r="G435" t="str">
            <v>农业</v>
          </cell>
        </row>
        <row r="435">
          <cell r="I435" t="str">
            <v>15881877067</v>
          </cell>
          <cell r="J435" t="str">
            <v>石板街道</v>
          </cell>
          <cell r="K435" t="str">
            <v>金刚村</v>
          </cell>
          <cell r="L435" t="str">
            <v>四川省达州市达川区石板街道金刚村2组</v>
          </cell>
          <cell r="M435" t="str">
            <v>四川省达州市达川区石板街道金刚村2组</v>
          </cell>
        </row>
        <row r="435">
          <cell r="R435" t="str">
            <v>51302119520216045744</v>
          </cell>
          <cell r="S435" t="str">
            <v>肢体</v>
          </cell>
          <cell r="T435" t="str">
            <v>四级</v>
          </cell>
          <cell r="U435" t="str">
            <v>肢体四级;</v>
          </cell>
        </row>
        <row r="436">
          <cell r="B436" t="str">
            <v>513021196508270979</v>
          </cell>
          <cell r="C436" t="str">
            <v>男</v>
          </cell>
          <cell r="D436" t="str">
            <v>汉族</v>
          </cell>
          <cell r="E436" t="str">
            <v>初中</v>
          </cell>
          <cell r="F436" t="str">
            <v>已婚</v>
          </cell>
          <cell r="G436" t="str">
            <v>农业</v>
          </cell>
        </row>
        <row r="436">
          <cell r="I436" t="str">
            <v>18384851131</v>
          </cell>
          <cell r="J436" t="str">
            <v>石板街道</v>
          </cell>
          <cell r="K436" t="str">
            <v>金刚村</v>
          </cell>
          <cell r="L436" t="str">
            <v>四川省达县石板镇金刚村1组</v>
          </cell>
          <cell r="M436" t="str">
            <v>四川省达县石板镇金刚村1组</v>
          </cell>
          <cell r="N436" t="str">
            <v>蒲光芬</v>
          </cell>
          <cell r="O436" t="str">
            <v>配偶</v>
          </cell>
        </row>
        <row r="436">
          <cell r="Q436" t="str">
            <v>13079030673</v>
          </cell>
          <cell r="R436" t="str">
            <v>51302119650827097943</v>
          </cell>
          <cell r="S436" t="str">
            <v>肢体</v>
          </cell>
          <cell r="T436" t="str">
            <v>三级</v>
          </cell>
          <cell r="U436" t="str">
            <v>肢体三级;</v>
          </cell>
        </row>
        <row r="437">
          <cell r="B437" t="str">
            <v>513021196406080461</v>
          </cell>
          <cell r="C437" t="str">
            <v>女</v>
          </cell>
          <cell r="D437" t="str">
            <v>汉族</v>
          </cell>
          <cell r="E437" t="str">
            <v>小学</v>
          </cell>
          <cell r="F437" t="str">
            <v>已婚</v>
          </cell>
          <cell r="G437" t="str">
            <v>农业</v>
          </cell>
        </row>
        <row r="437">
          <cell r="I437" t="str">
            <v>00000000</v>
          </cell>
          <cell r="J437" t="str">
            <v>石板街道</v>
          </cell>
          <cell r="K437" t="str">
            <v>金刚村</v>
          </cell>
          <cell r="L437" t="str">
            <v>四川省达州市达川区石板镇石河村1组</v>
          </cell>
          <cell r="M437" t="str">
            <v>四川省达县石板镇石河村1组</v>
          </cell>
        </row>
        <row r="437">
          <cell r="R437" t="str">
            <v>51302119640608046113</v>
          </cell>
          <cell r="S437" t="str">
            <v>视力</v>
          </cell>
          <cell r="T437" t="str">
            <v>三级</v>
          </cell>
          <cell r="U437" t="str">
            <v>视力三级;</v>
          </cell>
        </row>
        <row r="438">
          <cell r="B438" t="str">
            <v>513021195707170458</v>
          </cell>
          <cell r="C438" t="str">
            <v>男</v>
          </cell>
          <cell r="D438" t="str">
            <v>汉族</v>
          </cell>
          <cell r="E438" t="str">
            <v>小学</v>
          </cell>
          <cell r="F438" t="str">
            <v>已婚</v>
          </cell>
          <cell r="G438" t="str">
            <v>农业</v>
          </cell>
        </row>
        <row r="438">
          <cell r="I438" t="str">
            <v>18682812209</v>
          </cell>
          <cell r="J438" t="str">
            <v>石板街道</v>
          </cell>
          <cell r="K438" t="str">
            <v>金刚村</v>
          </cell>
          <cell r="L438" t="str">
            <v>四川省达县石板镇石河村3组</v>
          </cell>
          <cell r="M438" t="str">
            <v>四川省达县石板镇石河村3组</v>
          </cell>
        </row>
        <row r="438">
          <cell r="R438" t="str">
            <v>51302119570717045844</v>
          </cell>
          <cell r="S438" t="str">
            <v>肢体</v>
          </cell>
          <cell r="T438" t="str">
            <v>四级</v>
          </cell>
          <cell r="U438" t="str">
            <v>肢体四级;</v>
          </cell>
        </row>
        <row r="439">
          <cell r="B439" t="str">
            <v>513021196412081014</v>
          </cell>
          <cell r="C439" t="str">
            <v>男</v>
          </cell>
          <cell r="D439" t="str">
            <v>汉族</v>
          </cell>
          <cell r="E439" t="str">
            <v>初中</v>
          </cell>
          <cell r="F439" t="str">
            <v>已婚</v>
          </cell>
          <cell r="G439" t="str">
            <v>农业</v>
          </cell>
        </row>
        <row r="439">
          <cell r="I439" t="str">
            <v>15983862926</v>
          </cell>
          <cell r="J439" t="str">
            <v>石板街道</v>
          </cell>
          <cell r="K439" t="str">
            <v>金刚村</v>
          </cell>
          <cell r="L439" t="str">
            <v>四川省达州市达川区石板街道金刚村5组</v>
          </cell>
          <cell r="M439" t="str">
            <v>四川省达州市达川区石板街道金刚村5组</v>
          </cell>
        </row>
        <row r="439">
          <cell r="R439" t="str">
            <v>51302119641208101444</v>
          </cell>
          <cell r="S439" t="str">
            <v>肢体</v>
          </cell>
          <cell r="T439" t="str">
            <v>四级</v>
          </cell>
          <cell r="U439" t="str">
            <v>肢体四级;</v>
          </cell>
        </row>
        <row r="440">
          <cell r="B440" t="str">
            <v>513021196611170458</v>
          </cell>
          <cell r="C440" t="str">
            <v>男</v>
          </cell>
          <cell r="D440" t="str">
            <v>汉族</v>
          </cell>
          <cell r="E440" t="str">
            <v>初中</v>
          </cell>
          <cell r="F440" t="str">
            <v>已婚</v>
          </cell>
          <cell r="G440" t="str">
            <v>农业</v>
          </cell>
        </row>
        <row r="440">
          <cell r="I440" t="str">
            <v>13690625917</v>
          </cell>
          <cell r="J440" t="str">
            <v>石板街道</v>
          </cell>
          <cell r="K440" t="str">
            <v>金刚村</v>
          </cell>
          <cell r="L440" t="str">
            <v>四川省达州市达川区石板镇石河村2组</v>
          </cell>
          <cell r="M440" t="str">
            <v>四川省达州市达川区石板镇石河村2组</v>
          </cell>
        </row>
        <row r="440">
          <cell r="R440" t="str">
            <v>51302119661117045843</v>
          </cell>
          <cell r="S440" t="str">
            <v>肢体</v>
          </cell>
          <cell r="T440" t="str">
            <v>三级</v>
          </cell>
          <cell r="U440" t="str">
            <v>肢体三级;</v>
          </cell>
        </row>
        <row r="441">
          <cell r="B441" t="str">
            <v>51303119680416572X</v>
          </cell>
          <cell r="C441" t="str">
            <v>女</v>
          </cell>
          <cell r="D441" t="str">
            <v>汉族</v>
          </cell>
          <cell r="E441" t="str">
            <v>小学</v>
          </cell>
          <cell r="F441" t="str">
            <v>已婚</v>
          </cell>
          <cell r="G441" t="str">
            <v>农业</v>
          </cell>
        </row>
        <row r="441">
          <cell r="I441" t="str">
            <v>15281844271</v>
          </cell>
          <cell r="J441" t="str">
            <v>石板街道</v>
          </cell>
          <cell r="K441" t="str">
            <v>金刚村</v>
          </cell>
          <cell r="L441" t="str">
            <v>四川省达州市达川区石板街道金刚村4组383号</v>
          </cell>
          <cell r="M441" t="str">
            <v>四川省达州市达川区石板街道金刚村4组383号</v>
          </cell>
        </row>
        <row r="441">
          <cell r="R441" t="str">
            <v>51303119680416572X44</v>
          </cell>
          <cell r="S441" t="str">
            <v>肢体</v>
          </cell>
          <cell r="T441" t="str">
            <v>四级</v>
          </cell>
          <cell r="U441" t="str">
            <v>肢体四级;</v>
          </cell>
        </row>
        <row r="442">
          <cell r="B442" t="str">
            <v>513021196906050963</v>
          </cell>
          <cell r="C442" t="str">
            <v>女</v>
          </cell>
          <cell r="D442" t="str">
            <v>汉族</v>
          </cell>
          <cell r="E442" t="str">
            <v>小学</v>
          </cell>
          <cell r="F442" t="str">
            <v>已婚</v>
          </cell>
          <cell r="G442" t="str">
            <v>农业</v>
          </cell>
        </row>
        <row r="442">
          <cell r="I442" t="str">
            <v>13286428058</v>
          </cell>
          <cell r="J442" t="str">
            <v>石板街道</v>
          </cell>
          <cell r="K442" t="str">
            <v>金刚村</v>
          </cell>
          <cell r="L442" t="str">
            <v>四川省达州市达川区石板街道金刚村7组</v>
          </cell>
          <cell r="M442" t="str">
            <v>四川省达州市达川区石板街道金刚村7组</v>
          </cell>
          <cell r="N442" t="str">
            <v>邓细全</v>
          </cell>
          <cell r="O442" t="str">
            <v>配偶</v>
          </cell>
        </row>
        <row r="442">
          <cell r="Q442" t="str">
            <v>13286428058</v>
          </cell>
          <cell r="R442" t="str">
            <v>51302119690605096362</v>
          </cell>
          <cell r="S442" t="str">
            <v>精神</v>
          </cell>
          <cell r="T442" t="str">
            <v>二级</v>
          </cell>
          <cell r="U442" t="str">
            <v>精神二级;</v>
          </cell>
        </row>
        <row r="443">
          <cell r="B443" t="str">
            <v>513021196802010975</v>
          </cell>
          <cell r="C443" t="str">
            <v>男</v>
          </cell>
          <cell r="D443" t="str">
            <v>汉族</v>
          </cell>
          <cell r="E443" t="str">
            <v>小学</v>
          </cell>
          <cell r="F443" t="str">
            <v>已婚</v>
          </cell>
          <cell r="G443" t="str">
            <v>农业</v>
          </cell>
        </row>
        <row r="443">
          <cell r="I443" t="str">
            <v>19119057535</v>
          </cell>
          <cell r="J443" t="str">
            <v>石板街道</v>
          </cell>
          <cell r="K443" t="str">
            <v>金刚村</v>
          </cell>
          <cell r="L443" t="str">
            <v>四川省达州市达川区石板街道金刚村1组</v>
          </cell>
          <cell r="M443" t="str">
            <v>四川省达州市达川区石板街道金刚村1组</v>
          </cell>
        </row>
        <row r="443">
          <cell r="R443" t="str">
            <v>51302119680201097541</v>
          </cell>
          <cell r="S443" t="str">
            <v>肢体</v>
          </cell>
          <cell r="T443" t="str">
            <v>一级</v>
          </cell>
          <cell r="U443" t="str">
            <v>肢体一级;</v>
          </cell>
        </row>
        <row r="444">
          <cell r="B444" t="str">
            <v>513021195712050207</v>
          </cell>
          <cell r="C444" t="str">
            <v>女</v>
          </cell>
          <cell r="D444" t="str">
            <v>汉族</v>
          </cell>
          <cell r="E444" t="str">
            <v>小学</v>
          </cell>
          <cell r="F444" t="str">
            <v>离婚</v>
          </cell>
          <cell r="G444" t="str">
            <v>非农业</v>
          </cell>
        </row>
        <row r="444">
          <cell r="I444" t="str">
            <v>15984497076</v>
          </cell>
          <cell r="J444" t="str">
            <v>石板街道</v>
          </cell>
          <cell r="K444" t="str">
            <v>石板社区</v>
          </cell>
          <cell r="L444" t="str">
            <v>四川省达县石板镇金刚街１号３栋１单元９号</v>
          </cell>
          <cell r="M444" t="str">
            <v>四川省达县石板镇金刚街１号３栋１单元９号</v>
          </cell>
          <cell r="N444" t="str">
            <v>傅林</v>
          </cell>
          <cell r="O444" t="str">
            <v>兄/弟/姐/妹</v>
          </cell>
        </row>
        <row r="444">
          <cell r="Q444" t="str">
            <v>15984497076</v>
          </cell>
          <cell r="R444" t="str">
            <v>51302119571205020753</v>
          </cell>
          <cell r="S444" t="str">
            <v>智力</v>
          </cell>
          <cell r="T444" t="str">
            <v>三级</v>
          </cell>
          <cell r="U444" t="str">
            <v>智力三级;</v>
          </cell>
        </row>
        <row r="445">
          <cell r="B445" t="str">
            <v>513021195508300459</v>
          </cell>
          <cell r="C445" t="str">
            <v>男</v>
          </cell>
          <cell r="D445" t="str">
            <v>汉族</v>
          </cell>
          <cell r="E445" t="str">
            <v>初中</v>
          </cell>
          <cell r="F445" t="str">
            <v>已婚</v>
          </cell>
          <cell r="G445" t="str">
            <v>非农业</v>
          </cell>
        </row>
        <row r="445">
          <cell r="I445" t="str">
            <v>15892986408</v>
          </cell>
          <cell r="J445" t="str">
            <v>石板街道</v>
          </cell>
          <cell r="K445" t="str">
            <v>石板社区</v>
          </cell>
          <cell r="L445" t="str">
            <v>四川省达州市达川区石板街道石板社区政府街600号</v>
          </cell>
          <cell r="M445" t="str">
            <v>四川省达州市达川区石板街道石板社区政府街600号</v>
          </cell>
          <cell r="N445" t="str">
            <v>邓生荣</v>
          </cell>
          <cell r="O445" t="str">
            <v>配偶</v>
          </cell>
        </row>
        <row r="445">
          <cell r="R445" t="str">
            <v>51302119550830045944</v>
          </cell>
          <cell r="S445" t="str">
            <v>肢体</v>
          </cell>
          <cell r="T445" t="str">
            <v>四级</v>
          </cell>
          <cell r="U445" t="str">
            <v>肢体四级;</v>
          </cell>
        </row>
        <row r="446">
          <cell r="B446" t="str">
            <v>513021195809290450</v>
          </cell>
          <cell r="C446" t="str">
            <v>男</v>
          </cell>
          <cell r="D446" t="str">
            <v>汉族</v>
          </cell>
          <cell r="E446" t="str">
            <v>高中</v>
          </cell>
          <cell r="F446" t="str">
            <v>已婚</v>
          </cell>
          <cell r="G446" t="str">
            <v>非农业</v>
          </cell>
        </row>
        <row r="446">
          <cell r="I446" t="str">
            <v>13668384284</v>
          </cell>
          <cell r="J446" t="str">
            <v>石板街道</v>
          </cell>
          <cell r="K446" t="str">
            <v>石板社区</v>
          </cell>
          <cell r="L446" t="str">
            <v>四川省达州市达川区石板镇政府街２３１号</v>
          </cell>
          <cell r="M446" t="str">
            <v>四川省达州市达川区石板镇政府街２３１号</v>
          </cell>
        </row>
        <row r="446">
          <cell r="O446" t="str">
            <v>配偶</v>
          </cell>
        </row>
        <row r="446">
          <cell r="R446" t="str">
            <v>51302119580929045044</v>
          </cell>
          <cell r="S446" t="str">
            <v>肢体</v>
          </cell>
          <cell r="T446" t="str">
            <v>四级</v>
          </cell>
          <cell r="U446" t="str">
            <v>肢体四级;</v>
          </cell>
        </row>
        <row r="447">
          <cell r="B447" t="str">
            <v>513021193802010453</v>
          </cell>
          <cell r="C447" t="str">
            <v>男</v>
          </cell>
          <cell r="D447" t="str">
            <v>汉族</v>
          </cell>
          <cell r="E447" t="str">
            <v>小学</v>
          </cell>
          <cell r="F447" t="str">
            <v>未婚</v>
          </cell>
          <cell r="G447" t="str">
            <v>非农业</v>
          </cell>
        </row>
        <row r="447">
          <cell r="I447" t="str">
            <v>13558539766</v>
          </cell>
          <cell r="J447" t="str">
            <v>石板街道</v>
          </cell>
          <cell r="K447" t="str">
            <v>石板社区</v>
          </cell>
          <cell r="L447" t="str">
            <v>四川省达州市达川区石板镇街道铜江路</v>
          </cell>
          <cell r="M447" t="str">
            <v>四川省达州市达川区石板镇街道铜江路</v>
          </cell>
        </row>
        <row r="447">
          <cell r="R447" t="str">
            <v>51302119380201045344</v>
          </cell>
          <cell r="S447" t="str">
            <v>肢体</v>
          </cell>
          <cell r="T447" t="str">
            <v>四级</v>
          </cell>
          <cell r="U447" t="str">
            <v>肢体四级;</v>
          </cell>
        </row>
        <row r="448">
          <cell r="B448" t="str">
            <v>513021198506050453</v>
          </cell>
          <cell r="C448" t="str">
            <v>男</v>
          </cell>
          <cell r="D448" t="str">
            <v>汉族</v>
          </cell>
          <cell r="E448" t="str">
            <v>小学</v>
          </cell>
          <cell r="F448" t="str">
            <v>未婚</v>
          </cell>
          <cell r="G448" t="str">
            <v>非农业</v>
          </cell>
        </row>
        <row r="448">
          <cell r="I448" t="str">
            <v>13982885955</v>
          </cell>
          <cell r="J448" t="str">
            <v>石板街道</v>
          </cell>
          <cell r="K448" t="str">
            <v>石板社区</v>
          </cell>
          <cell r="L448" t="str">
            <v>四川省达州市达川区石板镇铜江路448号</v>
          </cell>
          <cell r="M448" t="str">
            <v>四川省达州市达川区石板镇铜江路448号</v>
          </cell>
          <cell r="N448" t="str">
            <v>文富贵</v>
          </cell>
          <cell r="O448" t="str">
            <v>父母</v>
          </cell>
        </row>
        <row r="448">
          <cell r="R448" t="str">
            <v>51302119850605045344</v>
          </cell>
          <cell r="S448" t="str">
            <v>肢体</v>
          </cell>
          <cell r="T448" t="str">
            <v>四级</v>
          </cell>
          <cell r="U448" t="str">
            <v>肢体四级;</v>
          </cell>
        </row>
        <row r="449">
          <cell r="B449" t="str">
            <v>513021197703120196</v>
          </cell>
          <cell r="C449" t="str">
            <v>男</v>
          </cell>
          <cell r="D449" t="str">
            <v>汉族</v>
          </cell>
          <cell r="E449" t="str">
            <v>初中</v>
          </cell>
          <cell r="F449" t="str">
            <v>未婚</v>
          </cell>
          <cell r="G449" t="str">
            <v>非农业</v>
          </cell>
        </row>
        <row r="449">
          <cell r="I449" t="str">
            <v>15883731535</v>
          </cell>
          <cell r="J449" t="str">
            <v>石板街道</v>
          </cell>
          <cell r="K449" t="str">
            <v>石板社区</v>
          </cell>
          <cell r="L449" t="str">
            <v>四川省达州市达川区石板镇金刚街２号</v>
          </cell>
          <cell r="M449" t="str">
            <v>四川省达州市达川区石板镇金刚街２号</v>
          </cell>
          <cell r="N449" t="str">
            <v>唐明富</v>
          </cell>
          <cell r="O449" t="str">
            <v>父母</v>
          </cell>
        </row>
        <row r="449">
          <cell r="Q449" t="str">
            <v>15883731535</v>
          </cell>
          <cell r="R449" t="str">
            <v>51302119770312019662</v>
          </cell>
          <cell r="S449" t="str">
            <v>精神</v>
          </cell>
          <cell r="T449" t="str">
            <v>二级</v>
          </cell>
          <cell r="U449" t="str">
            <v>精神二级;</v>
          </cell>
        </row>
        <row r="450">
          <cell r="B450" t="str">
            <v>513021197403204021</v>
          </cell>
          <cell r="C450" t="str">
            <v>女</v>
          </cell>
          <cell r="D450" t="str">
            <v>汉族</v>
          </cell>
          <cell r="E450" t="str">
            <v>小学</v>
          </cell>
          <cell r="F450" t="str">
            <v>已婚</v>
          </cell>
          <cell r="G450" t="str">
            <v>非农业</v>
          </cell>
        </row>
        <row r="450">
          <cell r="I450" t="str">
            <v>15281851709</v>
          </cell>
          <cell r="J450" t="str">
            <v>石板街道</v>
          </cell>
          <cell r="K450" t="str">
            <v>石板社区</v>
          </cell>
          <cell r="L450" t="str">
            <v>四川省达州市达川区石板街道石板社区政府街600号</v>
          </cell>
          <cell r="M450" t="str">
            <v>四川省达州市达川区石板街道石板社区政府街600号</v>
          </cell>
          <cell r="N450" t="str">
            <v>杨才国</v>
          </cell>
          <cell r="O450" t="str">
            <v>父母</v>
          </cell>
        </row>
        <row r="450">
          <cell r="Q450" t="str">
            <v>18381832763</v>
          </cell>
          <cell r="R450" t="str">
            <v>51302119740320402144</v>
          </cell>
          <cell r="S450" t="str">
            <v>肢体</v>
          </cell>
          <cell r="T450" t="str">
            <v>四级</v>
          </cell>
          <cell r="U450" t="str">
            <v>肢体四级;</v>
          </cell>
        </row>
        <row r="451">
          <cell r="B451" t="str">
            <v>513021195411270476</v>
          </cell>
          <cell r="C451" t="str">
            <v>男</v>
          </cell>
          <cell r="D451" t="str">
            <v>汉族</v>
          </cell>
          <cell r="E451" t="str">
            <v>初中</v>
          </cell>
          <cell r="F451" t="str">
            <v>已婚</v>
          </cell>
          <cell r="G451" t="str">
            <v>非农业</v>
          </cell>
        </row>
        <row r="451">
          <cell r="I451" t="str">
            <v>18782896126</v>
          </cell>
          <cell r="J451" t="str">
            <v>石板街道</v>
          </cell>
          <cell r="K451" t="str">
            <v>石板社区</v>
          </cell>
          <cell r="L451" t="str">
            <v>四川省达州市达川区石板镇铜江路２７号</v>
          </cell>
          <cell r="M451" t="str">
            <v>四川省达州市达川区石板镇铜江路２７号</v>
          </cell>
          <cell r="N451" t="str">
            <v>毛巾会</v>
          </cell>
          <cell r="O451" t="str">
            <v>配偶</v>
          </cell>
        </row>
        <row r="451">
          <cell r="R451" t="str">
            <v>51302119541127047644</v>
          </cell>
          <cell r="S451" t="str">
            <v>肢体</v>
          </cell>
          <cell r="T451" t="str">
            <v>四级</v>
          </cell>
          <cell r="U451" t="str">
            <v>肢体四级;</v>
          </cell>
        </row>
        <row r="452">
          <cell r="B452" t="str">
            <v>513021195401230446</v>
          </cell>
          <cell r="C452" t="str">
            <v>女</v>
          </cell>
          <cell r="D452" t="str">
            <v>汉族</v>
          </cell>
          <cell r="E452" t="str">
            <v>小学</v>
          </cell>
          <cell r="F452" t="str">
            <v>已婚</v>
          </cell>
          <cell r="G452" t="str">
            <v>非农业</v>
          </cell>
        </row>
        <row r="452">
          <cell r="I452" t="str">
            <v>18381906178</v>
          </cell>
          <cell r="J452" t="str">
            <v>石板街道</v>
          </cell>
          <cell r="K452" t="str">
            <v>石板社区</v>
          </cell>
          <cell r="L452" t="str">
            <v>四川省达州市达川区石板街道石板社区铜江路１５号</v>
          </cell>
          <cell r="M452" t="str">
            <v>四川省达州市达川区石板街道石板社区铜江路１５号</v>
          </cell>
          <cell r="N452" t="str">
            <v>白如贵</v>
          </cell>
          <cell r="O452" t="str">
            <v>配偶</v>
          </cell>
        </row>
        <row r="452">
          <cell r="R452" t="str">
            <v>51302119540123044644</v>
          </cell>
          <cell r="S452" t="str">
            <v>肢体</v>
          </cell>
          <cell r="T452" t="str">
            <v>四级</v>
          </cell>
          <cell r="U452" t="str">
            <v>肢体四级;</v>
          </cell>
        </row>
        <row r="453">
          <cell r="B453" t="str">
            <v>513021195703060462</v>
          </cell>
          <cell r="C453" t="str">
            <v>女</v>
          </cell>
          <cell r="D453" t="str">
            <v>汉族</v>
          </cell>
          <cell r="E453" t="str">
            <v>小学</v>
          </cell>
          <cell r="F453" t="str">
            <v>已婚</v>
          </cell>
          <cell r="G453" t="str">
            <v>非农业</v>
          </cell>
        </row>
        <row r="453">
          <cell r="I453" t="str">
            <v>13281734289</v>
          </cell>
          <cell r="J453" t="str">
            <v>石板街道</v>
          </cell>
          <cell r="K453" t="str">
            <v>石板社区</v>
          </cell>
          <cell r="L453" t="str">
            <v>四川省达州市达川区石板街道石板社区政府街600号</v>
          </cell>
          <cell r="M453" t="str">
            <v>四川省达州市达川区石板街道石板社区政府街600号</v>
          </cell>
          <cell r="N453" t="str">
            <v>潘光华</v>
          </cell>
          <cell r="O453" t="str">
            <v>配偶</v>
          </cell>
        </row>
        <row r="453">
          <cell r="Q453" t="str">
            <v>13281734289</v>
          </cell>
          <cell r="R453" t="str">
            <v>51302119570306046262</v>
          </cell>
          <cell r="S453" t="str">
            <v>精神</v>
          </cell>
          <cell r="T453" t="str">
            <v>二级</v>
          </cell>
          <cell r="U453" t="str">
            <v>精神二级;</v>
          </cell>
        </row>
        <row r="454">
          <cell r="B454" t="str">
            <v>513021196510270206</v>
          </cell>
          <cell r="C454" t="str">
            <v>女</v>
          </cell>
          <cell r="D454" t="str">
            <v>汉族</v>
          </cell>
          <cell r="E454" t="str">
            <v>初中</v>
          </cell>
          <cell r="F454" t="str">
            <v>已婚</v>
          </cell>
          <cell r="G454" t="str">
            <v>农业</v>
          </cell>
        </row>
        <row r="454">
          <cell r="I454" t="str">
            <v>0000000</v>
          </cell>
          <cell r="J454" t="str">
            <v>石板街道</v>
          </cell>
          <cell r="K454" t="str">
            <v>石板社区</v>
          </cell>
          <cell r="L454" t="str">
            <v>四川省达县石板镇金刚街２号</v>
          </cell>
          <cell r="M454" t="str">
            <v>四川省达县石板镇金刚街２号</v>
          </cell>
        </row>
        <row r="454">
          <cell r="R454" t="str">
            <v>51302119651027020614</v>
          </cell>
          <cell r="S454" t="str">
            <v>视力</v>
          </cell>
          <cell r="T454" t="str">
            <v>四级</v>
          </cell>
          <cell r="U454" t="str">
            <v>视力四级;</v>
          </cell>
        </row>
        <row r="455">
          <cell r="B455" t="str">
            <v>513021197509110445</v>
          </cell>
          <cell r="C455" t="str">
            <v>女</v>
          </cell>
          <cell r="D455" t="str">
            <v>汉族</v>
          </cell>
          <cell r="E455" t="str">
            <v>小学</v>
          </cell>
          <cell r="F455" t="str">
            <v>已婚</v>
          </cell>
          <cell r="G455" t="str">
            <v>农业</v>
          </cell>
        </row>
        <row r="455">
          <cell r="I455" t="str">
            <v>13659067854</v>
          </cell>
          <cell r="J455" t="str">
            <v>石板街道</v>
          </cell>
          <cell r="K455" t="str">
            <v>石板社区</v>
          </cell>
          <cell r="L455" t="str">
            <v>四川省达州市达川区石板镇政府街６００号</v>
          </cell>
          <cell r="M455" t="str">
            <v>四川省达州市达川区石板镇政府街６００号</v>
          </cell>
        </row>
        <row r="455">
          <cell r="R455" t="str">
            <v>51302119750911044543</v>
          </cell>
          <cell r="S455" t="str">
            <v>肢体</v>
          </cell>
          <cell r="T455" t="str">
            <v>三级</v>
          </cell>
          <cell r="U455" t="str">
            <v>肢体三级;</v>
          </cell>
        </row>
        <row r="456">
          <cell r="B456" t="str">
            <v>513021194910230458</v>
          </cell>
          <cell r="C456" t="str">
            <v>男</v>
          </cell>
          <cell r="D456" t="str">
            <v>汉族</v>
          </cell>
          <cell r="E456" t="str">
            <v>小学</v>
          </cell>
          <cell r="F456" t="str">
            <v>已婚</v>
          </cell>
          <cell r="G456" t="str">
            <v>非农业</v>
          </cell>
        </row>
        <row r="456">
          <cell r="I456" t="str">
            <v>13547261027</v>
          </cell>
          <cell r="J456" t="str">
            <v>石板街道</v>
          </cell>
          <cell r="K456" t="str">
            <v>石板社区</v>
          </cell>
          <cell r="L456" t="str">
            <v>四川省达州市达川区石板街道石板社区铜江路３２７号</v>
          </cell>
          <cell r="M456" t="str">
            <v>四川省达州市达川区石板街道石板社区铜江路３２７号</v>
          </cell>
        </row>
        <row r="456">
          <cell r="R456" t="str">
            <v>51302119491023045843</v>
          </cell>
          <cell r="S456" t="str">
            <v>肢体</v>
          </cell>
          <cell r="T456" t="str">
            <v>三级</v>
          </cell>
          <cell r="U456" t="str">
            <v>肢体三级;</v>
          </cell>
        </row>
        <row r="457">
          <cell r="B457" t="str">
            <v>513021194803060190</v>
          </cell>
          <cell r="C457" t="str">
            <v>男</v>
          </cell>
          <cell r="D457" t="str">
            <v>汉族</v>
          </cell>
          <cell r="E457" t="str">
            <v>初中</v>
          </cell>
          <cell r="F457" t="str">
            <v>已婚</v>
          </cell>
          <cell r="G457" t="str">
            <v>非农业</v>
          </cell>
        </row>
        <row r="457">
          <cell r="I457" t="str">
            <v>2663426</v>
          </cell>
          <cell r="J457" t="str">
            <v>石板街道</v>
          </cell>
          <cell r="K457" t="str">
            <v>石板社区</v>
          </cell>
          <cell r="L457" t="str">
            <v>四川省达县石板镇金刚街2号</v>
          </cell>
          <cell r="M457" t="str">
            <v>四川省达县石板镇金刚街2号</v>
          </cell>
        </row>
        <row r="457">
          <cell r="R457" t="str">
            <v>51302119480306019014</v>
          </cell>
          <cell r="S457" t="str">
            <v>视力</v>
          </cell>
          <cell r="T457" t="str">
            <v>四级</v>
          </cell>
          <cell r="U457" t="str">
            <v>视力四级;</v>
          </cell>
        </row>
        <row r="458">
          <cell r="B458" t="str">
            <v>513021194103150451</v>
          </cell>
          <cell r="C458" t="str">
            <v>男</v>
          </cell>
          <cell r="D458" t="str">
            <v>汉族</v>
          </cell>
          <cell r="E458" t="str">
            <v>高中</v>
          </cell>
          <cell r="F458" t="str">
            <v>已婚</v>
          </cell>
          <cell r="G458" t="str">
            <v>非农业</v>
          </cell>
        </row>
        <row r="458">
          <cell r="I458" t="str">
            <v>18381864779</v>
          </cell>
          <cell r="J458" t="str">
            <v>石板街道</v>
          </cell>
          <cell r="K458" t="str">
            <v>石板社区</v>
          </cell>
          <cell r="L458" t="str">
            <v>四川省达州市达川区石板镇政府街３９号</v>
          </cell>
          <cell r="M458" t="str">
            <v>四川省达县石板镇政府街３９号</v>
          </cell>
        </row>
        <row r="458">
          <cell r="R458" t="str">
            <v>51302119410315045113</v>
          </cell>
          <cell r="S458" t="str">
            <v>视力</v>
          </cell>
          <cell r="T458" t="str">
            <v>三级</v>
          </cell>
          <cell r="U458" t="str">
            <v>视力三级;</v>
          </cell>
        </row>
        <row r="459">
          <cell r="B459" t="str">
            <v>513021197403280489</v>
          </cell>
          <cell r="C459" t="str">
            <v>女</v>
          </cell>
          <cell r="D459" t="str">
            <v>汉族</v>
          </cell>
          <cell r="E459" t="str">
            <v>初中</v>
          </cell>
          <cell r="F459" t="str">
            <v>已婚</v>
          </cell>
          <cell r="G459" t="str">
            <v>非农业</v>
          </cell>
        </row>
        <row r="459">
          <cell r="I459" t="str">
            <v>13981498015</v>
          </cell>
          <cell r="J459" t="str">
            <v>石板街道</v>
          </cell>
          <cell r="K459" t="str">
            <v>石板社区</v>
          </cell>
          <cell r="L459" t="str">
            <v>四川省达州市达川区石板街道石板社区铜江路３３９号</v>
          </cell>
          <cell r="M459" t="str">
            <v>四川省达州市达川区石板街道石板社区铜江路３３９号</v>
          </cell>
        </row>
        <row r="459">
          <cell r="R459" t="str">
            <v>51302119740328048914B1</v>
          </cell>
          <cell r="S459" t="str">
            <v>视力</v>
          </cell>
          <cell r="T459" t="str">
            <v>四级</v>
          </cell>
          <cell r="U459" t="str">
            <v>视力四级;</v>
          </cell>
        </row>
        <row r="460">
          <cell r="B460" t="str">
            <v>513021195009090450</v>
          </cell>
          <cell r="C460" t="str">
            <v>男</v>
          </cell>
          <cell r="D460" t="str">
            <v>汉族</v>
          </cell>
          <cell r="E460" t="str">
            <v>初中</v>
          </cell>
          <cell r="F460" t="str">
            <v>已婚</v>
          </cell>
          <cell r="G460" t="str">
            <v>非农业</v>
          </cell>
        </row>
        <row r="460">
          <cell r="I460" t="str">
            <v>18381938315</v>
          </cell>
          <cell r="J460" t="str">
            <v>石板街道</v>
          </cell>
          <cell r="K460" t="str">
            <v>石板社区</v>
          </cell>
          <cell r="L460" t="str">
            <v>四川省达州市达川区石板镇铜江路503号</v>
          </cell>
          <cell r="M460" t="str">
            <v>四川省达州市达川区石板镇铜江路503号</v>
          </cell>
        </row>
        <row r="460">
          <cell r="R460" t="str">
            <v>51302119500909045044</v>
          </cell>
          <cell r="S460" t="str">
            <v>肢体</v>
          </cell>
          <cell r="T460" t="str">
            <v>四级</v>
          </cell>
          <cell r="U460" t="str">
            <v>肢体四级;</v>
          </cell>
        </row>
        <row r="461">
          <cell r="B461" t="str">
            <v>51302119651210667X</v>
          </cell>
          <cell r="C461" t="str">
            <v>男</v>
          </cell>
          <cell r="D461" t="str">
            <v>汉族</v>
          </cell>
          <cell r="E461" t="str">
            <v>初中</v>
          </cell>
          <cell r="F461" t="str">
            <v>已婚</v>
          </cell>
          <cell r="G461" t="str">
            <v>非农业</v>
          </cell>
        </row>
        <row r="461">
          <cell r="I461" t="str">
            <v>15982999058</v>
          </cell>
          <cell r="J461" t="str">
            <v>石板街道</v>
          </cell>
          <cell r="K461" t="str">
            <v>石板社区</v>
          </cell>
          <cell r="L461" t="str">
            <v>四川省达州市达川区石板镇金刚街２号</v>
          </cell>
          <cell r="M461" t="str">
            <v>四川省达州市达川区石板镇金刚街２号</v>
          </cell>
        </row>
        <row r="461">
          <cell r="R461" t="str">
            <v>51302119651210667X41</v>
          </cell>
          <cell r="S461" t="str">
            <v>肢体</v>
          </cell>
          <cell r="T461" t="str">
            <v>一级</v>
          </cell>
          <cell r="U461" t="str">
            <v>肢体一级;</v>
          </cell>
        </row>
        <row r="462">
          <cell r="B462" t="str">
            <v>513021197310110210</v>
          </cell>
          <cell r="C462" t="str">
            <v>男</v>
          </cell>
          <cell r="D462" t="str">
            <v>汉族</v>
          </cell>
          <cell r="E462" t="str">
            <v>初中</v>
          </cell>
          <cell r="F462" t="str">
            <v>已婚</v>
          </cell>
          <cell r="G462" t="str">
            <v>非农业</v>
          </cell>
        </row>
        <row r="462">
          <cell r="I462" t="str">
            <v>18880959801</v>
          </cell>
          <cell r="J462" t="str">
            <v>石板街道</v>
          </cell>
          <cell r="K462" t="str">
            <v>石板社区</v>
          </cell>
          <cell r="L462" t="str">
            <v>四川省达州市达川区达竹矿务局金刚煤矿</v>
          </cell>
          <cell r="M462" t="str">
            <v>四川省达州市达川区达竹矿务局金刚煤矿</v>
          </cell>
          <cell r="N462" t="str">
            <v>李玲英</v>
          </cell>
          <cell r="O462" t="str">
            <v>配偶</v>
          </cell>
        </row>
        <row r="462">
          <cell r="R462" t="str">
            <v>51302119731011021043</v>
          </cell>
          <cell r="S462" t="str">
            <v>肢体</v>
          </cell>
          <cell r="T462" t="str">
            <v>三级</v>
          </cell>
          <cell r="U462" t="str">
            <v>肢体三级;</v>
          </cell>
        </row>
        <row r="463">
          <cell r="B463" t="str">
            <v>513021197209240192</v>
          </cell>
          <cell r="C463" t="str">
            <v>男</v>
          </cell>
          <cell r="D463" t="str">
            <v>汉族</v>
          </cell>
          <cell r="E463" t="str">
            <v>初中</v>
          </cell>
          <cell r="F463" t="str">
            <v>已婚</v>
          </cell>
          <cell r="G463" t="str">
            <v>非农业</v>
          </cell>
        </row>
        <row r="463">
          <cell r="I463" t="str">
            <v>15881826173</v>
          </cell>
          <cell r="J463" t="str">
            <v>石板街道</v>
          </cell>
          <cell r="K463" t="str">
            <v>石板社区</v>
          </cell>
          <cell r="L463" t="str">
            <v>四川省达州市达川区石板镇金刚街１号３３栋２单元１０号</v>
          </cell>
          <cell r="M463" t="str">
            <v>四川省达州市达川区石板镇金刚街１号３３栋２单元１０号</v>
          </cell>
          <cell r="N463" t="str">
            <v>马芙蓉</v>
          </cell>
          <cell r="O463" t="str">
            <v>配偶</v>
          </cell>
        </row>
        <row r="463">
          <cell r="Q463" t="str">
            <v>15881826173</v>
          </cell>
          <cell r="R463" t="str">
            <v>51302119720924019253</v>
          </cell>
          <cell r="S463" t="str">
            <v>智力</v>
          </cell>
          <cell r="T463" t="str">
            <v>三级</v>
          </cell>
          <cell r="U463" t="str">
            <v>智力三级;</v>
          </cell>
        </row>
        <row r="464">
          <cell r="B464" t="str">
            <v>513021194301010193</v>
          </cell>
          <cell r="C464" t="str">
            <v>男</v>
          </cell>
          <cell r="D464" t="str">
            <v>汉族</v>
          </cell>
          <cell r="E464" t="str">
            <v>小学</v>
          </cell>
          <cell r="F464" t="str">
            <v>已婚</v>
          </cell>
          <cell r="G464" t="str">
            <v>非农业</v>
          </cell>
        </row>
        <row r="464">
          <cell r="I464" t="str">
            <v>13730790464</v>
          </cell>
          <cell r="J464" t="str">
            <v>石板街道</v>
          </cell>
          <cell r="K464" t="str">
            <v>石板社区</v>
          </cell>
          <cell r="L464" t="str">
            <v>四川省达州市达川区石板镇金刚街1号９栋１单元９号</v>
          </cell>
          <cell r="M464" t="str">
            <v>四川省达州市达川区石板镇金刚街1号９栋１单元９号</v>
          </cell>
        </row>
        <row r="464">
          <cell r="R464" t="str">
            <v>51302119430101019343</v>
          </cell>
          <cell r="S464" t="str">
            <v>肢体</v>
          </cell>
          <cell r="T464" t="str">
            <v>三级</v>
          </cell>
          <cell r="U464" t="str">
            <v>肢体三级;</v>
          </cell>
        </row>
        <row r="465">
          <cell r="B465" t="str">
            <v>513021195804090193</v>
          </cell>
          <cell r="C465" t="str">
            <v>男</v>
          </cell>
          <cell r="D465" t="str">
            <v>汉族</v>
          </cell>
          <cell r="E465" t="str">
            <v>小学</v>
          </cell>
          <cell r="F465" t="str">
            <v>已婚</v>
          </cell>
          <cell r="G465" t="str">
            <v>非农业</v>
          </cell>
        </row>
        <row r="465">
          <cell r="I465" t="str">
            <v>13419050905</v>
          </cell>
          <cell r="J465" t="str">
            <v>石板街道</v>
          </cell>
          <cell r="K465" t="str">
            <v>石板社区</v>
          </cell>
          <cell r="L465" t="str">
            <v>四川省达州市达川区石板镇金刚街１号５栋５单元３号</v>
          </cell>
          <cell r="M465" t="str">
            <v>四川省达州市达川区石板镇金刚街１号５栋５单元３号</v>
          </cell>
          <cell r="N465" t="str">
            <v>罗玉琼</v>
          </cell>
          <cell r="O465" t="str">
            <v>配偶</v>
          </cell>
        </row>
        <row r="465">
          <cell r="Q465" t="str">
            <v>13404036893</v>
          </cell>
          <cell r="R465" t="str">
            <v>51302119580409019311</v>
          </cell>
          <cell r="S465" t="str">
            <v>视力</v>
          </cell>
          <cell r="T465" t="str">
            <v>一级</v>
          </cell>
          <cell r="U465" t="str">
            <v>视力一级;</v>
          </cell>
        </row>
        <row r="466">
          <cell r="B466" t="str">
            <v>511721200101164774</v>
          </cell>
          <cell r="C466" t="str">
            <v>男</v>
          </cell>
          <cell r="D466" t="str">
            <v>汉族</v>
          </cell>
          <cell r="E466" t="str">
            <v>小学</v>
          </cell>
          <cell r="F466" t="str">
            <v>未婚</v>
          </cell>
          <cell r="G466" t="str">
            <v>非农业</v>
          </cell>
        </row>
        <row r="466">
          <cell r="I466" t="str">
            <v>13568198456</v>
          </cell>
          <cell r="J466" t="str">
            <v>石板街道</v>
          </cell>
          <cell r="K466" t="str">
            <v>石板社区</v>
          </cell>
          <cell r="L466" t="str">
            <v>四川省达州市达川区石板街道石板社区铜江路104号</v>
          </cell>
          <cell r="M466" t="str">
            <v>四川省达州市达川区石板街道石板社区铜江路104号</v>
          </cell>
          <cell r="N466" t="str">
            <v>杨周</v>
          </cell>
          <cell r="O466" t="str">
            <v>父母</v>
          </cell>
        </row>
        <row r="466">
          <cell r="Q466" t="str">
            <v>13568198456</v>
          </cell>
          <cell r="R466" t="str">
            <v>51172120010116477471</v>
          </cell>
          <cell r="S466" t="str">
            <v>多重</v>
          </cell>
          <cell r="T466" t="str">
            <v>一级</v>
          </cell>
          <cell r="U466" t="str">
            <v>听力一级;言语一级;</v>
          </cell>
        </row>
        <row r="467">
          <cell r="B467" t="str">
            <v>513021197012177433</v>
          </cell>
          <cell r="C467" t="str">
            <v>男</v>
          </cell>
          <cell r="D467" t="str">
            <v>汉族</v>
          </cell>
          <cell r="E467" t="str">
            <v>初中</v>
          </cell>
          <cell r="F467" t="str">
            <v>已婚</v>
          </cell>
          <cell r="G467" t="str">
            <v>非农业</v>
          </cell>
        </row>
        <row r="467">
          <cell r="I467" t="str">
            <v>13419069544</v>
          </cell>
          <cell r="J467" t="str">
            <v>石板街道</v>
          </cell>
          <cell r="K467" t="str">
            <v>石板社区</v>
          </cell>
          <cell r="L467" t="str">
            <v>四川省达州市达川区石板镇金刚街２号</v>
          </cell>
          <cell r="M467" t="str">
            <v>四川省达州市达川区石板镇金刚街２号</v>
          </cell>
        </row>
        <row r="467">
          <cell r="R467" t="str">
            <v>51302119701217743342</v>
          </cell>
          <cell r="S467" t="str">
            <v>肢体</v>
          </cell>
          <cell r="T467" t="str">
            <v>二级</v>
          </cell>
          <cell r="U467" t="str">
            <v>肢体二级;</v>
          </cell>
        </row>
        <row r="468">
          <cell r="B468" t="str">
            <v>513021195004010191</v>
          </cell>
          <cell r="C468" t="str">
            <v>男</v>
          </cell>
          <cell r="D468" t="str">
            <v>汉族</v>
          </cell>
          <cell r="E468" t="str">
            <v>小学</v>
          </cell>
          <cell r="F468" t="str">
            <v>已婚</v>
          </cell>
          <cell r="G468" t="str">
            <v>非农业</v>
          </cell>
        </row>
        <row r="468">
          <cell r="I468" t="str">
            <v>13086325609</v>
          </cell>
          <cell r="J468" t="str">
            <v>石板街道</v>
          </cell>
          <cell r="K468" t="str">
            <v>石板社区</v>
          </cell>
          <cell r="L468" t="str">
            <v>四川省达州市达川区石板镇金刚街１号１２栋１号</v>
          </cell>
          <cell r="M468" t="str">
            <v>四川省达州市达川区石板镇金刚街１号１２栋１号</v>
          </cell>
        </row>
        <row r="468">
          <cell r="R468" t="str">
            <v>51302119500401019143</v>
          </cell>
          <cell r="S468" t="str">
            <v>肢体</v>
          </cell>
          <cell r="T468" t="str">
            <v>三级</v>
          </cell>
          <cell r="U468" t="str">
            <v>肢体三级;</v>
          </cell>
        </row>
        <row r="469">
          <cell r="B469" t="str">
            <v>513021194104183132</v>
          </cell>
          <cell r="C469" t="str">
            <v>男</v>
          </cell>
          <cell r="D469" t="str">
            <v>汉族</v>
          </cell>
          <cell r="E469" t="str">
            <v>小学</v>
          </cell>
          <cell r="F469" t="str">
            <v>已婚</v>
          </cell>
          <cell r="G469" t="str">
            <v>非农业</v>
          </cell>
        </row>
        <row r="469">
          <cell r="I469" t="str">
            <v>15682281026</v>
          </cell>
          <cell r="J469" t="str">
            <v>石板街道</v>
          </cell>
          <cell r="K469" t="str">
            <v>石板社区</v>
          </cell>
          <cell r="L469" t="str">
            <v>四川省达州市达川区石板镇金刚街２号</v>
          </cell>
          <cell r="M469" t="str">
            <v>四川省达州市达川区石板镇金刚街２号</v>
          </cell>
        </row>
        <row r="469">
          <cell r="R469" t="str">
            <v>51302119410418313214</v>
          </cell>
          <cell r="S469" t="str">
            <v>视力</v>
          </cell>
          <cell r="T469" t="str">
            <v>四级</v>
          </cell>
          <cell r="U469" t="str">
            <v>视力四级;</v>
          </cell>
        </row>
        <row r="470">
          <cell r="B470" t="str">
            <v>513021196810256852</v>
          </cell>
          <cell r="C470" t="str">
            <v>男</v>
          </cell>
          <cell r="D470" t="str">
            <v>汉族</v>
          </cell>
          <cell r="E470" t="str">
            <v>初中</v>
          </cell>
          <cell r="F470" t="str">
            <v>已婚</v>
          </cell>
          <cell r="G470" t="str">
            <v>非农业</v>
          </cell>
        </row>
        <row r="470">
          <cell r="I470" t="str">
            <v>14781820318</v>
          </cell>
          <cell r="J470" t="str">
            <v>石板街道</v>
          </cell>
          <cell r="K470" t="str">
            <v>石板社区</v>
          </cell>
          <cell r="L470" t="str">
            <v>四川省达州市达川区石板镇金刚街２号</v>
          </cell>
          <cell r="M470" t="str">
            <v>四川省达州市达川区石板镇金刚街２号</v>
          </cell>
        </row>
        <row r="470">
          <cell r="R470" t="str">
            <v>51302119681025685242</v>
          </cell>
          <cell r="S470" t="str">
            <v>肢体</v>
          </cell>
          <cell r="T470" t="str">
            <v>二级</v>
          </cell>
          <cell r="U470" t="str">
            <v>肢体二级;</v>
          </cell>
        </row>
        <row r="471">
          <cell r="B471" t="str">
            <v>513021197209090198</v>
          </cell>
          <cell r="C471" t="str">
            <v>男</v>
          </cell>
          <cell r="D471" t="str">
            <v>汉族</v>
          </cell>
          <cell r="E471" t="str">
            <v>初中</v>
          </cell>
          <cell r="F471" t="str">
            <v>已婚</v>
          </cell>
          <cell r="G471" t="str">
            <v>非农业</v>
          </cell>
        </row>
        <row r="471">
          <cell r="I471" t="str">
            <v>0818-2311049</v>
          </cell>
          <cell r="J471" t="str">
            <v>石板街道</v>
          </cell>
          <cell r="K471" t="str">
            <v>石板社区</v>
          </cell>
          <cell r="L471" t="str">
            <v>四川省达县石板镇金刚街１号２２栋２３号</v>
          </cell>
          <cell r="M471" t="str">
            <v>四川省达县石板镇金刚街１号２２栋２３号</v>
          </cell>
        </row>
        <row r="471">
          <cell r="R471" t="str">
            <v>51302119720909019814</v>
          </cell>
          <cell r="S471" t="str">
            <v>视力</v>
          </cell>
          <cell r="T471" t="str">
            <v>四级</v>
          </cell>
          <cell r="U471" t="str">
            <v>视力四级;</v>
          </cell>
        </row>
        <row r="472">
          <cell r="B472" t="str">
            <v>513029198804261452</v>
          </cell>
          <cell r="C472" t="str">
            <v>男</v>
          </cell>
          <cell r="D472" t="str">
            <v>汉族</v>
          </cell>
          <cell r="E472" t="str">
            <v>文盲</v>
          </cell>
          <cell r="F472" t="str">
            <v>未婚</v>
          </cell>
          <cell r="G472" t="str">
            <v>非农业</v>
          </cell>
        </row>
        <row r="472">
          <cell r="I472" t="str">
            <v>13568352106</v>
          </cell>
          <cell r="J472" t="str">
            <v>石板街道</v>
          </cell>
          <cell r="K472" t="str">
            <v>石板社区</v>
          </cell>
          <cell r="L472" t="str">
            <v>四川省达州市达川区石板镇中山路１５号３楼５号</v>
          </cell>
          <cell r="M472" t="str">
            <v>四川省达州市达川区石板镇中山路１５号３楼５号</v>
          </cell>
          <cell r="N472" t="str">
            <v>李洪秋</v>
          </cell>
          <cell r="O472" t="str">
            <v>父母</v>
          </cell>
        </row>
        <row r="472">
          <cell r="Q472" t="str">
            <v>13568352106</v>
          </cell>
          <cell r="R472" t="str">
            <v>51302919880426145272</v>
          </cell>
          <cell r="S472" t="str">
            <v>多重</v>
          </cell>
          <cell r="T472" t="str">
            <v>二级</v>
          </cell>
          <cell r="U472" t="str">
            <v>肢体二级;智力二级;</v>
          </cell>
        </row>
        <row r="473">
          <cell r="B473" t="str">
            <v>513021195402130199</v>
          </cell>
          <cell r="C473" t="str">
            <v>男</v>
          </cell>
          <cell r="D473" t="str">
            <v>汉族</v>
          </cell>
          <cell r="E473" t="str">
            <v>初中</v>
          </cell>
          <cell r="F473" t="str">
            <v>已婚</v>
          </cell>
          <cell r="G473" t="str">
            <v>非农业</v>
          </cell>
        </row>
        <row r="473">
          <cell r="I473" t="str">
            <v>0818-2311049</v>
          </cell>
          <cell r="J473" t="str">
            <v>石板街道</v>
          </cell>
          <cell r="K473" t="str">
            <v>石板社区</v>
          </cell>
          <cell r="L473" t="str">
            <v>四川省达县石板镇金刚街１号５栋１单元７号</v>
          </cell>
          <cell r="M473" t="str">
            <v>四川省达县石板镇金刚街１号５栋１单元７号</v>
          </cell>
        </row>
        <row r="473">
          <cell r="R473" t="str">
            <v>51302119540213019944</v>
          </cell>
          <cell r="S473" t="str">
            <v>肢体</v>
          </cell>
          <cell r="T473" t="str">
            <v>四级</v>
          </cell>
          <cell r="U473" t="str">
            <v>肢体四级;</v>
          </cell>
        </row>
        <row r="474">
          <cell r="B474" t="str">
            <v>51302119511027019X</v>
          </cell>
          <cell r="C474" t="str">
            <v>男</v>
          </cell>
          <cell r="D474" t="str">
            <v>汉族</v>
          </cell>
          <cell r="E474" t="str">
            <v>小学</v>
          </cell>
          <cell r="F474" t="str">
            <v>已婚</v>
          </cell>
          <cell r="G474" t="str">
            <v>非农业</v>
          </cell>
        </row>
        <row r="474">
          <cell r="I474" t="str">
            <v>13981474288</v>
          </cell>
          <cell r="J474" t="str">
            <v>石板街道</v>
          </cell>
          <cell r="K474" t="str">
            <v>石板社区</v>
          </cell>
          <cell r="L474" t="str">
            <v>四川省达州市达川区石板镇金刚街１号９栋１单元１０号</v>
          </cell>
          <cell r="M474" t="str">
            <v>四川省达州市达川区石板镇金刚街１号９栋１单元１０号</v>
          </cell>
        </row>
        <row r="474">
          <cell r="R474" t="str">
            <v>51302119511027019X44</v>
          </cell>
          <cell r="S474" t="str">
            <v>肢体</v>
          </cell>
          <cell r="T474" t="str">
            <v>四级</v>
          </cell>
          <cell r="U474" t="str">
            <v>肢体四级;</v>
          </cell>
        </row>
        <row r="475">
          <cell r="B475" t="str">
            <v>513021195704167907</v>
          </cell>
          <cell r="C475" t="str">
            <v>女</v>
          </cell>
          <cell r="D475" t="str">
            <v>汉族</v>
          </cell>
          <cell r="E475" t="str">
            <v>小学</v>
          </cell>
          <cell r="F475" t="str">
            <v>已婚</v>
          </cell>
          <cell r="G475" t="str">
            <v>农业</v>
          </cell>
        </row>
        <row r="475">
          <cell r="I475" t="str">
            <v>13778380388</v>
          </cell>
          <cell r="J475" t="str">
            <v>石板街道</v>
          </cell>
          <cell r="K475" t="str">
            <v>石板社区</v>
          </cell>
          <cell r="L475" t="str">
            <v>四川省达州市达川区石板镇铜江路９２号</v>
          </cell>
          <cell r="M475" t="str">
            <v>四川省达州市达川区石板镇铜江路９２号</v>
          </cell>
        </row>
        <row r="475">
          <cell r="R475" t="str">
            <v>51302119570416790743</v>
          </cell>
          <cell r="S475" t="str">
            <v>肢体</v>
          </cell>
          <cell r="T475" t="str">
            <v>三级</v>
          </cell>
          <cell r="U475" t="str">
            <v>肢体三级;</v>
          </cell>
        </row>
        <row r="476">
          <cell r="B476" t="str">
            <v>510722198911112373</v>
          </cell>
          <cell r="C476" t="str">
            <v>男</v>
          </cell>
          <cell r="D476" t="str">
            <v>汉族</v>
          </cell>
          <cell r="E476" t="str">
            <v>小学</v>
          </cell>
          <cell r="F476" t="str">
            <v>未婚</v>
          </cell>
          <cell r="G476" t="str">
            <v>非农业</v>
          </cell>
        </row>
        <row r="476">
          <cell r="I476" t="str">
            <v>13982874636</v>
          </cell>
          <cell r="J476" t="str">
            <v>石板街道</v>
          </cell>
          <cell r="K476" t="str">
            <v>石板社区</v>
          </cell>
          <cell r="L476" t="str">
            <v>四川省达州市达川区石板镇金刚街２号</v>
          </cell>
          <cell r="M476" t="str">
            <v>四川省达州市达川区石板镇金刚街２号</v>
          </cell>
        </row>
        <row r="476">
          <cell r="O476" t="str">
            <v>父母</v>
          </cell>
        </row>
        <row r="476">
          <cell r="R476" t="str">
            <v>51072219891111237342</v>
          </cell>
          <cell r="S476" t="str">
            <v>肢体</v>
          </cell>
          <cell r="T476" t="str">
            <v>二级</v>
          </cell>
          <cell r="U476" t="str">
            <v>肢体二级;</v>
          </cell>
        </row>
        <row r="477">
          <cell r="B477" t="str">
            <v>513021194211280448</v>
          </cell>
          <cell r="C477" t="str">
            <v>女</v>
          </cell>
          <cell r="D477" t="str">
            <v>汉族</v>
          </cell>
          <cell r="E477" t="str">
            <v>小学</v>
          </cell>
          <cell r="F477" t="str">
            <v>已婚</v>
          </cell>
          <cell r="G477" t="str">
            <v>非农业</v>
          </cell>
        </row>
        <row r="477">
          <cell r="J477" t="str">
            <v>石板街道</v>
          </cell>
          <cell r="K477" t="str">
            <v>石板社区</v>
          </cell>
          <cell r="L477" t="str">
            <v>四川省达县石板镇街道铜江路</v>
          </cell>
          <cell r="M477" t="str">
            <v>四川省达县石板镇街道铜江路</v>
          </cell>
        </row>
        <row r="477">
          <cell r="R477" t="str">
            <v>51302119421128044844</v>
          </cell>
          <cell r="S477" t="str">
            <v>肢体</v>
          </cell>
          <cell r="T477" t="str">
            <v>四级</v>
          </cell>
          <cell r="U477" t="str">
            <v>肢体四级;</v>
          </cell>
        </row>
        <row r="478">
          <cell r="B478" t="str">
            <v>513028196306180291</v>
          </cell>
          <cell r="C478" t="str">
            <v>男</v>
          </cell>
          <cell r="D478" t="str">
            <v>汉族</v>
          </cell>
          <cell r="E478" t="str">
            <v>初中</v>
          </cell>
          <cell r="F478" t="str">
            <v>已婚</v>
          </cell>
          <cell r="G478" t="str">
            <v>非农业</v>
          </cell>
        </row>
        <row r="478">
          <cell r="I478" t="str">
            <v>18281808393</v>
          </cell>
          <cell r="J478" t="str">
            <v>石板街道</v>
          </cell>
          <cell r="K478" t="str">
            <v>石板社区</v>
          </cell>
          <cell r="L478" t="str">
            <v>四川省达州市达川区石板镇金刚街２号</v>
          </cell>
          <cell r="M478" t="str">
            <v>四川省达州市达川区石板镇金刚街２号</v>
          </cell>
        </row>
        <row r="478">
          <cell r="R478" t="str">
            <v>51302819630618029141</v>
          </cell>
          <cell r="S478" t="str">
            <v>肢体</v>
          </cell>
          <cell r="T478" t="str">
            <v>一级</v>
          </cell>
          <cell r="U478" t="str">
            <v>肢体一级;</v>
          </cell>
        </row>
        <row r="479">
          <cell r="B479" t="str">
            <v>513021197708200195</v>
          </cell>
          <cell r="C479" t="str">
            <v>男</v>
          </cell>
          <cell r="D479" t="str">
            <v>汉族</v>
          </cell>
          <cell r="E479" t="str">
            <v>初中</v>
          </cell>
          <cell r="F479" t="str">
            <v>已婚</v>
          </cell>
          <cell r="G479" t="str">
            <v>非农业</v>
          </cell>
        </row>
        <row r="479">
          <cell r="I479" t="str">
            <v>13982898290</v>
          </cell>
          <cell r="J479" t="str">
            <v>石板街道</v>
          </cell>
          <cell r="K479" t="str">
            <v>石板社区</v>
          </cell>
          <cell r="L479" t="str">
            <v>四川省达州市达川区石板镇金刚街１号２０栋１楼４号</v>
          </cell>
          <cell r="M479" t="str">
            <v>四川省达州市达川区石板镇金刚街１号２０栋１楼４号</v>
          </cell>
        </row>
        <row r="479">
          <cell r="O479" t="str">
            <v>配偶</v>
          </cell>
        </row>
        <row r="479">
          <cell r="R479" t="str">
            <v>51302119770820019541</v>
          </cell>
          <cell r="S479" t="str">
            <v>肢体</v>
          </cell>
          <cell r="T479" t="str">
            <v>一级</v>
          </cell>
          <cell r="U479" t="str">
            <v>肢体一级;</v>
          </cell>
        </row>
        <row r="480">
          <cell r="B480" t="str">
            <v>513021195208120456</v>
          </cell>
          <cell r="C480" t="str">
            <v>男</v>
          </cell>
          <cell r="D480" t="str">
            <v>汉族</v>
          </cell>
          <cell r="E480" t="str">
            <v>初中</v>
          </cell>
          <cell r="F480" t="str">
            <v>已婚</v>
          </cell>
          <cell r="G480" t="str">
            <v>非农业</v>
          </cell>
          <cell r="H480" t="str">
            <v>3422158</v>
          </cell>
        </row>
        <row r="480">
          <cell r="J480" t="str">
            <v>石板街道</v>
          </cell>
          <cell r="K480" t="str">
            <v>石板社区</v>
          </cell>
          <cell r="L480" t="str">
            <v>四川省达州市达川区石板镇街道铜江路６２号</v>
          </cell>
          <cell r="M480" t="str">
            <v>四川省达州市达川区石板镇街道铜江路６２号</v>
          </cell>
          <cell r="N480" t="str">
            <v>王清琼</v>
          </cell>
          <cell r="O480" t="str">
            <v>配偶</v>
          </cell>
          <cell r="P480" t="str">
            <v>3422158</v>
          </cell>
        </row>
        <row r="480">
          <cell r="R480" t="str">
            <v>51302119520812045644</v>
          </cell>
          <cell r="S480" t="str">
            <v>肢体</v>
          </cell>
          <cell r="T480" t="str">
            <v>四级</v>
          </cell>
          <cell r="U480" t="str">
            <v>肢体四级;</v>
          </cell>
        </row>
        <row r="481">
          <cell r="B481" t="str">
            <v>513021195309110441</v>
          </cell>
          <cell r="C481" t="str">
            <v>女</v>
          </cell>
          <cell r="D481" t="str">
            <v>汉族</v>
          </cell>
          <cell r="E481" t="str">
            <v>小学</v>
          </cell>
          <cell r="F481" t="str">
            <v>已婚</v>
          </cell>
          <cell r="G481" t="str">
            <v>非农业</v>
          </cell>
        </row>
        <row r="481">
          <cell r="I481" t="str">
            <v>18381809294</v>
          </cell>
          <cell r="J481" t="str">
            <v>石板街道</v>
          </cell>
          <cell r="K481" t="str">
            <v>石板社区</v>
          </cell>
          <cell r="L481" t="str">
            <v>四川省达州市达川区石板街道石板社区政府街600号</v>
          </cell>
          <cell r="M481" t="str">
            <v>四川省达州市达川区石板街道石板社区政府街600号</v>
          </cell>
        </row>
        <row r="481">
          <cell r="R481" t="str">
            <v>51302119530911044144</v>
          </cell>
          <cell r="S481" t="str">
            <v>肢体</v>
          </cell>
          <cell r="T481" t="str">
            <v>四级</v>
          </cell>
          <cell r="U481" t="str">
            <v>肢体四级;</v>
          </cell>
        </row>
        <row r="482">
          <cell r="B482" t="str">
            <v>513021195209090199</v>
          </cell>
          <cell r="C482" t="str">
            <v>男</v>
          </cell>
          <cell r="D482" t="str">
            <v>汉族</v>
          </cell>
          <cell r="E482" t="str">
            <v>小学</v>
          </cell>
          <cell r="F482" t="str">
            <v>已婚</v>
          </cell>
          <cell r="G482" t="str">
            <v>非农业</v>
          </cell>
        </row>
        <row r="482">
          <cell r="I482" t="str">
            <v>15892975630</v>
          </cell>
          <cell r="J482" t="str">
            <v>石板街道</v>
          </cell>
          <cell r="K482" t="str">
            <v>石板社区</v>
          </cell>
          <cell r="L482" t="str">
            <v>四川省达州市达川区石板镇金刚街１号３栋５单元１号</v>
          </cell>
          <cell r="M482" t="str">
            <v>四川省达州市达川区石板镇金刚街１号３栋５单元１号</v>
          </cell>
        </row>
        <row r="482">
          <cell r="R482" t="str">
            <v>51302119520909019943</v>
          </cell>
          <cell r="S482" t="str">
            <v>肢体</v>
          </cell>
          <cell r="T482" t="str">
            <v>三级</v>
          </cell>
          <cell r="U482" t="str">
            <v>肢体三级;</v>
          </cell>
        </row>
        <row r="483">
          <cell r="B483" t="str">
            <v>513021196812120190</v>
          </cell>
          <cell r="C483" t="str">
            <v>男</v>
          </cell>
          <cell r="D483" t="str">
            <v>汉族</v>
          </cell>
          <cell r="E483" t="str">
            <v>初中</v>
          </cell>
          <cell r="F483" t="str">
            <v>已婚</v>
          </cell>
          <cell r="G483" t="str">
            <v>非农业</v>
          </cell>
        </row>
        <row r="483">
          <cell r="I483" t="str">
            <v>15082879915</v>
          </cell>
          <cell r="J483" t="str">
            <v>石板街道</v>
          </cell>
          <cell r="K483" t="str">
            <v>石板社区</v>
          </cell>
          <cell r="L483" t="str">
            <v>四川省达州市达川区石板镇金刚街１号２４栋１单元４号</v>
          </cell>
          <cell r="M483" t="str">
            <v>四川省达州市达川区石板镇金刚街１号２４栋１单元４号</v>
          </cell>
        </row>
        <row r="483">
          <cell r="R483" t="str">
            <v>51302119681212019044</v>
          </cell>
          <cell r="S483" t="str">
            <v>肢体</v>
          </cell>
          <cell r="T483" t="str">
            <v>四级</v>
          </cell>
          <cell r="U483" t="str">
            <v>肢体四级;</v>
          </cell>
        </row>
        <row r="484">
          <cell r="B484" t="str">
            <v>513021197212070454</v>
          </cell>
          <cell r="C484" t="str">
            <v>男</v>
          </cell>
          <cell r="D484" t="str">
            <v>汉族</v>
          </cell>
          <cell r="E484" t="str">
            <v>小学</v>
          </cell>
          <cell r="F484" t="str">
            <v>未婚</v>
          </cell>
          <cell r="G484" t="str">
            <v>非农业</v>
          </cell>
        </row>
        <row r="484">
          <cell r="I484" t="str">
            <v>13882886278</v>
          </cell>
          <cell r="J484" t="str">
            <v>石板街道</v>
          </cell>
          <cell r="K484" t="str">
            <v>石板社区</v>
          </cell>
          <cell r="L484" t="str">
            <v>四川省达州市达川区石板街道石板社区政府街600号</v>
          </cell>
          <cell r="M484" t="str">
            <v>四川省达州市达川区石板街道石板社区政府街600号</v>
          </cell>
        </row>
        <row r="484">
          <cell r="R484" t="str">
            <v>51302119721207045444</v>
          </cell>
          <cell r="S484" t="str">
            <v>肢体</v>
          </cell>
          <cell r="T484" t="str">
            <v>四级</v>
          </cell>
          <cell r="U484" t="str">
            <v>肢体四级;</v>
          </cell>
        </row>
        <row r="485">
          <cell r="B485" t="str">
            <v>510226196612170011</v>
          </cell>
          <cell r="C485" t="str">
            <v>男</v>
          </cell>
          <cell r="D485" t="str">
            <v>汉族</v>
          </cell>
          <cell r="E485" t="str">
            <v>初中</v>
          </cell>
          <cell r="F485" t="str">
            <v>已婚</v>
          </cell>
          <cell r="G485" t="str">
            <v>非农业</v>
          </cell>
        </row>
        <row r="485">
          <cell r="I485" t="str">
            <v>13110297689</v>
          </cell>
          <cell r="J485" t="str">
            <v>石板街道</v>
          </cell>
          <cell r="K485" t="str">
            <v>石板社区</v>
          </cell>
          <cell r="L485" t="str">
            <v>四川省达州市达川区石板镇金刚街２号</v>
          </cell>
          <cell r="M485" t="str">
            <v>四川省达州市达川区石板镇金刚街２号</v>
          </cell>
        </row>
        <row r="485">
          <cell r="R485" t="str">
            <v>51022619661217001142</v>
          </cell>
          <cell r="S485" t="str">
            <v>肢体</v>
          </cell>
          <cell r="T485" t="str">
            <v>二级</v>
          </cell>
          <cell r="U485" t="str">
            <v>肢体二级;</v>
          </cell>
        </row>
        <row r="486">
          <cell r="B486" t="str">
            <v>513021196502130190</v>
          </cell>
          <cell r="C486" t="str">
            <v>男</v>
          </cell>
          <cell r="D486" t="str">
            <v>汉族</v>
          </cell>
          <cell r="E486" t="str">
            <v>初中</v>
          </cell>
          <cell r="F486" t="str">
            <v>已婚</v>
          </cell>
          <cell r="G486" t="str">
            <v>非农业</v>
          </cell>
        </row>
        <row r="486">
          <cell r="I486" t="str">
            <v>15281854139</v>
          </cell>
          <cell r="J486" t="str">
            <v>石板街道</v>
          </cell>
          <cell r="K486" t="str">
            <v>石板社区</v>
          </cell>
          <cell r="L486" t="str">
            <v>四川省达州市达川区石板镇金刚煤矿矿区金刚街１号３１栋３单元８号</v>
          </cell>
          <cell r="M486" t="str">
            <v>四川省达州市达川区石板镇金刚煤矿矿区金刚街１号３１栋３单元８号</v>
          </cell>
        </row>
        <row r="486">
          <cell r="O486" t="str">
            <v>配偶</v>
          </cell>
        </row>
        <row r="486">
          <cell r="R486" t="str">
            <v>51302119650213019024</v>
          </cell>
          <cell r="S486" t="str">
            <v>听力</v>
          </cell>
          <cell r="T486" t="str">
            <v>四级</v>
          </cell>
          <cell r="U486" t="str">
            <v>听力四级;</v>
          </cell>
        </row>
        <row r="487">
          <cell r="B487" t="str">
            <v>513021197105078573</v>
          </cell>
          <cell r="C487" t="str">
            <v>男</v>
          </cell>
          <cell r="D487" t="str">
            <v>汉族</v>
          </cell>
          <cell r="E487" t="str">
            <v>初中</v>
          </cell>
          <cell r="F487" t="str">
            <v>已婚</v>
          </cell>
          <cell r="G487" t="str">
            <v>非农业</v>
          </cell>
        </row>
        <row r="487">
          <cell r="I487" t="str">
            <v>15082421010</v>
          </cell>
          <cell r="J487" t="str">
            <v>石板街道</v>
          </cell>
          <cell r="K487" t="str">
            <v>石板社区</v>
          </cell>
          <cell r="L487" t="str">
            <v>四川省达州市达川区石板镇金刚街１号８栋５单元１０号</v>
          </cell>
          <cell r="M487" t="str">
            <v>四川省达州市达川区石板镇金刚街１号８栋５单元１０号</v>
          </cell>
        </row>
        <row r="487">
          <cell r="R487" t="str">
            <v>51302119710507857314</v>
          </cell>
          <cell r="S487" t="str">
            <v>视力</v>
          </cell>
          <cell r="T487" t="str">
            <v>四级</v>
          </cell>
          <cell r="U487" t="str">
            <v>视力四级;</v>
          </cell>
        </row>
        <row r="488">
          <cell r="B488" t="str">
            <v>513021197107170197</v>
          </cell>
          <cell r="C488" t="str">
            <v>男</v>
          </cell>
          <cell r="D488" t="str">
            <v>汉族</v>
          </cell>
          <cell r="E488" t="str">
            <v>初中</v>
          </cell>
          <cell r="F488" t="str">
            <v>已婚</v>
          </cell>
          <cell r="G488" t="str">
            <v>非农业</v>
          </cell>
        </row>
        <row r="488">
          <cell r="I488" t="str">
            <v>15378248805</v>
          </cell>
          <cell r="J488" t="str">
            <v>石板街道</v>
          </cell>
          <cell r="K488" t="str">
            <v>石板社区</v>
          </cell>
          <cell r="L488" t="str">
            <v>四川省达州市达川区石板街道石板社区金刚街１号１４栋</v>
          </cell>
          <cell r="M488" t="str">
            <v>四川省达州市达川区石板街道石板社区金刚街１号１４栋</v>
          </cell>
        </row>
        <row r="488">
          <cell r="R488" t="str">
            <v>51302119710717019713</v>
          </cell>
          <cell r="S488" t="str">
            <v>视力</v>
          </cell>
          <cell r="T488" t="str">
            <v>三级</v>
          </cell>
          <cell r="U488" t="str">
            <v>视力三级;</v>
          </cell>
        </row>
        <row r="489">
          <cell r="B489" t="str">
            <v>513021196607280195</v>
          </cell>
          <cell r="C489" t="str">
            <v>男</v>
          </cell>
          <cell r="D489" t="str">
            <v>汉族</v>
          </cell>
          <cell r="E489" t="str">
            <v>初中</v>
          </cell>
          <cell r="F489" t="str">
            <v>已婚</v>
          </cell>
          <cell r="G489" t="str">
            <v>非农业</v>
          </cell>
        </row>
        <row r="489">
          <cell r="I489" t="str">
            <v>13308247165</v>
          </cell>
          <cell r="J489" t="str">
            <v>石板街道</v>
          </cell>
          <cell r="K489" t="str">
            <v>石板社区</v>
          </cell>
          <cell r="L489" t="str">
            <v>四川省达州市达川区石板镇金刚街１号１７栋１楼４号</v>
          </cell>
          <cell r="M489" t="str">
            <v>四川省达州市达川区石板镇金刚街１号１７栋１楼４号</v>
          </cell>
        </row>
        <row r="489">
          <cell r="R489" t="str">
            <v>51302119660728019541</v>
          </cell>
          <cell r="S489" t="str">
            <v>肢体</v>
          </cell>
          <cell r="T489" t="str">
            <v>一级</v>
          </cell>
          <cell r="U489" t="str">
            <v>肢体一级;</v>
          </cell>
        </row>
        <row r="490">
          <cell r="B490" t="str">
            <v>513021196412170199</v>
          </cell>
          <cell r="C490" t="str">
            <v>男</v>
          </cell>
          <cell r="D490" t="str">
            <v>汉族</v>
          </cell>
          <cell r="E490" t="str">
            <v>初中</v>
          </cell>
          <cell r="F490" t="str">
            <v>已婚</v>
          </cell>
          <cell r="G490" t="str">
            <v>非农业</v>
          </cell>
        </row>
        <row r="490">
          <cell r="I490" t="str">
            <v>18381899328</v>
          </cell>
          <cell r="J490" t="str">
            <v>石板街道</v>
          </cell>
          <cell r="K490" t="str">
            <v>石板社区</v>
          </cell>
          <cell r="L490" t="str">
            <v>四川省达州市达川区石板镇金刚街２号</v>
          </cell>
          <cell r="M490" t="str">
            <v>四川省达州市达川区石板镇金刚街２号</v>
          </cell>
        </row>
        <row r="490">
          <cell r="R490" t="str">
            <v>51302119641217019943</v>
          </cell>
          <cell r="S490" t="str">
            <v>肢体</v>
          </cell>
          <cell r="T490" t="str">
            <v>三级</v>
          </cell>
          <cell r="U490" t="str">
            <v>肢体三级;</v>
          </cell>
        </row>
        <row r="491">
          <cell r="B491" t="str">
            <v>513021196902140195</v>
          </cell>
          <cell r="C491" t="str">
            <v>男</v>
          </cell>
          <cell r="D491" t="str">
            <v>汉族</v>
          </cell>
          <cell r="E491" t="str">
            <v>初中</v>
          </cell>
          <cell r="F491" t="str">
            <v>已婚</v>
          </cell>
          <cell r="G491" t="str">
            <v>非农业</v>
          </cell>
        </row>
        <row r="491">
          <cell r="I491" t="str">
            <v>13982880218</v>
          </cell>
          <cell r="J491" t="str">
            <v>石板街道</v>
          </cell>
          <cell r="K491" t="str">
            <v>石板社区</v>
          </cell>
          <cell r="L491" t="str">
            <v>四川省达州市达川区石板镇金刚街2号</v>
          </cell>
          <cell r="M491" t="str">
            <v>四川省达县达竹矿务局金刚煤矿</v>
          </cell>
        </row>
        <row r="491">
          <cell r="R491" t="str">
            <v>51302119690214019544</v>
          </cell>
          <cell r="S491" t="str">
            <v>肢体</v>
          </cell>
          <cell r="T491" t="str">
            <v>四级</v>
          </cell>
          <cell r="U491" t="str">
            <v>肢体四级;</v>
          </cell>
        </row>
        <row r="492">
          <cell r="B492" t="str">
            <v>513021195302150192</v>
          </cell>
          <cell r="C492" t="str">
            <v>男</v>
          </cell>
          <cell r="D492" t="str">
            <v>汉族</v>
          </cell>
          <cell r="E492" t="str">
            <v>小学</v>
          </cell>
          <cell r="F492" t="str">
            <v>已婚</v>
          </cell>
          <cell r="G492" t="str">
            <v>非农业</v>
          </cell>
        </row>
        <row r="492">
          <cell r="I492" t="str">
            <v>13547235577</v>
          </cell>
          <cell r="J492" t="str">
            <v>石板街道</v>
          </cell>
          <cell r="K492" t="str">
            <v>石板社区</v>
          </cell>
          <cell r="L492" t="str">
            <v>四川省达州市达川区石板镇金刚街2号</v>
          </cell>
          <cell r="M492" t="str">
            <v>四川省达州市达川区石板镇金刚街2号</v>
          </cell>
          <cell r="N492" t="str">
            <v>唐中英</v>
          </cell>
          <cell r="O492" t="str">
            <v>配偶</v>
          </cell>
        </row>
        <row r="492">
          <cell r="R492" t="str">
            <v>51302119530215019243</v>
          </cell>
          <cell r="S492" t="str">
            <v>肢体</v>
          </cell>
          <cell r="T492" t="str">
            <v>三级</v>
          </cell>
          <cell r="U492" t="str">
            <v>肢体三级;</v>
          </cell>
        </row>
        <row r="493">
          <cell r="B493" t="str">
            <v>513021196804110523</v>
          </cell>
          <cell r="C493" t="str">
            <v>女</v>
          </cell>
          <cell r="D493" t="str">
            <v>汉族</v>
          </cell>
          <cell r="E493" t="str">
            <v>初中</v>
          </cell>
          <cell r="F493" t="str">
            <v>已婚</v>
          </cell>
          <cell r="G493" t="str">
            <v>非农业</v>
          </cell>
        </row>
        <row r="493">
          <cell r="J493" t="str">
            <v>石板街道</v>
          </cell>
          <cell r="K493" t="str">
            <v>石板社区</v>
          </cell>
          <cell r="L493" t="str">
            <v>四川省达县石板镇政府街２４９号</v>
          </cell>
          <cell r="M493" t="str">
            <v>四川省达县石板镇政府街２４９号</v>
          </cell>
        </row>
        <row r="493">
          <cell r="R493" t="str">
            <v>51302119680411052344</v>
          </cell>
          <cell r="S493" t="str">
            <v>肢体</v>
          </cell>
          <cell r="T493" t="str">
            <v>四级</v>
          </cell>
          <cell r="U493" t="str">
            <v>肢体四级;</v>
          </cell>
        </row>
        <row r="494">
          <cell r="B494" t="str">
            <v>51302119500715019X</v>
          </cell>
          <cell r="C494" t="str">
            <v>男</v>
          </cell>
          <cell r="D494" t="str">
            <v>汉族</v>
          </cell>
          <cell r="E494" t="str">
            <v>小学</v>
          </cell>
          <cell r="F494" t="str">
            <v>已婚</v>
          </cell>
          <cell r="G494" t="str">
            <v>非农业</v>
          </cell>
        </row>
        <row r="494">
          <cell r="I494" t="str">
            <v>0818-2311049</v>
          </cell>
          <cell r="J494" t="str">
            <v>石板街道</v>
          </cell>
          <cell r="K494" t="str">
            <v>石板社区</v>
          </cell>
          <cell r="L494" t="str">
            <v>四川省达县达竹矿务局金刚煤矿</v>
          </cell>
          <cell r="M494" t="str">
            <v>四川省达县石板镇金刚街１号２１栋３楼６号</v>
          </cell>
          <cell r="N494" t="str">
            <v>夏明碧</v>
          </cell>
          <cell r="O494" t="str">
            <v>配偶</v>
          </cell>
        </row>
        <row r="494">
          <cell r="R494" t="str">
            <v>51302119500715019X44</v>
          </cell>
          <cell r="S494" t="str">
            <v>肢体</v>
          </cell>
          <cell r="T494" t="str">
            <v>四级</v>
          </cell>
          <cell r="U494" t="str">
            <v>肢体四级;</v>
          </cell>
        </row>
        <row r="495">
          <cell r="B495" t="str">
            <v>513021197310142554</v>
          </cell>
          <cell r="C495" t="str">
            <v>男</v>
          </cell>
          <cell r="D495" t="str">
            <v>汉族</v>
          </cell>
          <cell r="E495" t="str">
            <v>初中</v>
          </cell>
          <cell r="F495" t="str">
            <v>已婚</v>
          </cell>
          <cell r="G495" t="str">
            <v>非农业</v>
          </cell>
        </row>
        <row r="495">
          <cell r="I495" t="str">
            <v>15281896720</v>
          </cell>
          <cell r="J495" t="str">
            <v>石板街道</v>
          </cell>
          <cell r="K495" t="str">
            <v>石板社区</v>
          </cell>
          <cell r="L495" t="str">
            <v>四川省达州市达川区石板镇金刚街２号</v>
          </cell>
          <cell r="M495" t="str">
            <v>四川省达州市达川区石板镇金刚街２号</v>
          </cell>
        </row>
        <row r="495">
          <cell r="R495" t="str">
            <v>51302119731014255443</v>
          </cell>
          <cell r="S495" t="str">
            <v>肢体</v>
          </cell>
          <cell r="T495" t="str">
            <v>三级</v>
          </cell>
          <cell r="U495" t="str">
            <v>肢体三级;</v>
          </cell>
        </row>
        <row r="496">
          <cell r="B496" t="str">
            <v>511623199401062798</v>
          </cell>
          <cell r="C496" t="str">
            <v>男</v>
          </cell>
          <cell r="D496" t="str">
            <v>汉族</v>
          </cell>
          <cell r="E496" t="str">
            <v>小学</v>
          </cell>
          <cell r="F496" t="str">
            <v>未婚</v>
          </cell>
          <cell r="G496" t="str">
            <v>非农业</v>
          </cell>
        </row>
        <row r="496">
          <cell r="I496" t="str">
            <v>18281868978</v>
          </cell>
          <cell r="J496" t="str">
            <v>石板街道</v>
          </cell>
          <cell r="K496" t="str">
            <v>石板社区</v>
          </cell>
          <cell r="L496" t="str">
            <v>四川省达州市达川区三里坪街道花溪社区万达路445号5栋2单元12楼3号</v>
          </cell>
          <cell r="M496" t="str">
            <v>四川省达州市达川区三里坪街道花溪社区万达路445号5栋2单元12楼3号</v>
          </cell>
          <cell r="N496" t="str">
            <v>张清碧</v>
          </cell>
          <cell r="O496" t="str">
            <v>父母</v>
          </cell>
        </row>
        <row r="496">
          <cell r="Q496" t="str">
            <v>18281868978</v>
          </cell>
          <cell r="R496" t="str">
            <v>51162319940106279843</v>
          </cell>
          <cell r="S496" t="str">
            <v>肢体</v>
          </cell>
          <cell r="T496" t="str">
            <v>三级</v>
          </cell>
          <cell r="U496" t="str">
            <v>肢体三级;</v>
          </cell>
        </row>
        <row r="497">
          <cell r="B497" t="str">
            <v>513021196207100191</v>
          </cell>
          <cell r="C497" t="str">
            <v>男</v>
          </cell>
          <cell r="D497" t="str">
            <v>汉族</v>
          </cell>
          <cell r="E497" t="str">
            <v>高中</v>
          </cell>
          <cell r="F497" t="str">
            <v>已婚</v>
          </cell>
          <cell r="G497" t="str">
            <v>非农业</v>
          </cell>
        </row>
        <row r="497">
          <cell r="I497" t="str">
            <v>15196868275</v>
          </cell>
          <cell r="J497" t="str">
            <v>石板街道</v>
          </cell>
          <cell r="K497" t="str">
            <v>石板社区</v>
          </cell>
          <cell r="L497" t="str">
            <v>四川省达州市达川区石板镇金刚街１号３２栋１单元６号</v>
          </cell>
          <cell r="M497" t="str">
            <v>四川省达州市达川区石板镇金刚街１号３２栋１单元６号</v>
          </cell>
          <cell r="N497" t="str">
            <v>刘忠荣</v>
          </cell>
          <cell r="O497" t="str">
            <v>配偶</v>
          </cell>
        </row>
        <row r="497">
          <cell r="Q497" t="str">
            <v>15196868275</v>
          </cell>
          <cell r="R497" t="str">
            <v>51302119620710019144</v>
          </cell>
          <cell r="S497" t="str">
            <v>肢体</v>
          </cell>
          <cell r="T497" t="str">
            <v>四级</v>
          </cell>
          <cell r="U497" t="str">
            <v>肢体四级;</v>
          </cell>
        </row>
        <row r="498">
          <cell r="B498" t="str">
            <v>513021195710050457</v>
          </cell>
          <cell r="C498" t="str">
            <v>男</v>
          </cell>
          <cell r="D498" t="str">
            <v>汉族</v>
          </cell>
          <cell r="E498" t="str">
            <v>小学</v>
          </cell>
          <cell r="F498" t="str">
            <v>已婚</v>
          </cell>
          <cell r="G498" t="str">
            <v>农业</v>
          </cell>
        </row>
        <row r="498">
          <cell r="I498" t="str">
            <v>13198751113</v>
          </cell>
          <cell r="J498" t="str">
            <v>石板街道</v>
          </cell>
          <cell r="K498" t="str">
            <v>石板社区</v>
          </cell>
          <cell r="L498" t="str">
            <v>四川省达州市达川区石板镇政府街509</v>
          </cell>
          <cell r="M498" t="str">
            <v>四川省达州市达川区石板镇政府街509</v>
          </cell>
          <cell r="N498" t="str">
            <v>吴让琼</v>
          </cell>
          <cell r="O498" t="str">
            <v>配偶</v>
          </cell>
        </row>
        <row r="498">
          <cell r="Q498" t="str">
            <v>13198759876</v>
          </cell>
          <cell r="R498" t="str">
            <v>51302119571005045742</v>
          </cell>
          <cell r="S498" t="str">
            <v>肢体</v>
          </cell>
          <cell r="T498" t="str">
            <v>二级</v>
          </cell>
          <cell r="U498" t="str">
            <v>肢体二级;</v>
          </cell>
        </row>
        <row r="499">
          <cell r="B499" t="str">
            <v>513021196003050452</v>
          </cell>
          <cell r="C499" t="str">
            <v>男</v>
          </cell>
          <cell r="D499" t="str">
            <v>汉族</v>
          </cell>
          <cell r="E499" t="str">
            <v>高中</v>
          </cell>
          <cell r="F499" t="str">
            <v>已婚</v>
          </cell>
          <cell r="G499" t="str">
            <v>农业</v>
          </cell>
        </row>
        <row r="499">
          <cell r="I499" t="str">
            <v>15181809436</v>
          </cell>
          <cell r="J499" t="str">
            <v>石板街道</v>
          </cell>
          <cell r="K499" t="str">
            <v>石板社区</v>
          </cell>
          <cell r="L499" t="str">
            <v>四川省达州市达川区石板镇政府街109号</v>
          </cell>
          <cell r="M499" t="str">
            <v>四川省达州市达川区石板镇政府街109号</v>
          </cell>
        </row>
        <row r="499">
          <cell r="R499" t="str">
            <v>51302119600305045244</v>
          </cell>
          <cell r="S499" t="str">
            <v>肢体</v>
          </cell>
          <cell r="T499" t="str">
            <v>四级</v>
          </cell>
          <cell r="U499" t="str">
            <v>肢体四级;</v>
          </cell>
        </row>
        <row r="500">
          <cell r="B500" t="str">
            <v>513021193905200444</v>
          </cell>
          <cell r="C500" t="str">
            <v>女</v>
          </cell>
          <cell r="D500" t="str">
            <v>汉族</v>
          </cell>
          <cell r="E500" t="str">
            <v>文盲</v>
          </cell>
          <cell r="F500" t="str">
            <v>已婚</v>
          </cell>
          <cell r="G500" t="str">
            <v>非农业</v>
          </cell>
        </row>
        <row r="500">
          <cell r="I500" t="str">
            <v>17065183625</v>
          </cell>
          <cell r="J500" t="str">
            <v>石板街道</v>
          </cell>
          <cell r="K500" t="str">
            <v>石板社区</v>
          </cell>
          <cell r="L500" t="str">
            <v>四川省达州市达川区石板镇政府街600号</v>
          </cell>
          <cell r="M500" t="str">
            <v>四川省达州市达川区石板镇政府街600号</v>
          </cell>
        </row>
        <row r="500">
          <cell r="R500" t="str">
            <v>51302119390520044444</v>
          </cell>
          <cell r="S500" t="str">
            <v>肢体</v>
          </cell>
          <cell r="T500" t="str">
            <v>四级</v>
          </cell>
          <cell r="U500" t="str">
            <v>肢体四级;</v>
          </cell>
        </row>
        <row r="501">
          <cell r="B501" t="str">
            <v>513021199212050209</v>
          </cell>
          <cell r="C501" t="str">
            <v>女</v>
          </cell>
          <cell r="D501" t="str">
            <v>汉族</v>
          </cell>
          <cell r="E501" t="str">
            <v>硕士</v>
          </cell>
          <cell r="F501" t="str">
            <v>未婚</v>
          </cell>
          <cell r="G501" t="str">
            <v>非农业</v>
          </cell>
        </row>
        <row r="501">
          <cell r="I501" t="str">
            <v>18782943539</v>
          </cell>
          <cell r="J501" t="str">
            <v>石板街道</v>
          </cell>
          <cell r="K501" t="str">
            <v>石板社区</v>
          </cell>
          <cell r="L501" t="str">
            <v>四川省达州市达川区石板街道石板社区中山路９号１单元１６号</v>
          </cell>
          <cell r="M501" t="str">
            <v>四川省达州市达川区石板街道石板社区中山路９号１单元１６号</v>
          </cell>
        </row>
        <row r="501">
          <cell r="Q501" t="str">
            <v>18782943539</v>
          </cell>
          <cell r="R501" t="str">
            <v>51302119921205020944</v>
          </cell>
          <cell r="S501" t="str">
            <v>肢体</v>
          </cell>
          <cell r="T501" t="str">
            <v>四级</v>
          </cell>
          <cell r="U501" t="str">
            <v>肢体四级;</v>
          </cell>
        </row>
        <row r="502">
          <cell r="B502" t="str">
            <v>513021193405040448</v>
          </cell>
          <cell r="C502" t="str">
            <v>女</v>
          </cell>
          <cell r="D502" t="str">
            <v>汉族</v>
          </cell>
          <cell r="E502" t="str">
            <v>初中</v>
          </cell>
          <cell r="F502" t="str">
            <v>已婚</v>
          </cell>
          <cell r="G502" t="str">
            <v>非农业</v>
          </cell>
        </row>
        <row r="502">
          <cell r="I502" t="str">
            <v>15983879818</v>
          </cell>
          <cell r="J502" t="str">
            <v>石板街道</v>
          </cell>
          <cell r="K502" t="str">
            <v>石板社区</v>
          </cell>
          <cell r="L502" t="str">
            <v>四川省达县石板镇街道</v>
          </cell>
          <cell r="M502" t="str">
            <v>四川省达县石板镇街道</v>
          </cell>
          <cell r="N502" t="str">
            <v>邓华全</v>
          </cell>
          <cell r="O502" t="str">
            <v>配偶</v>
          </cell>
        </row>
        <row r="502">
          <cell r="Q502" t="str">
            <v>15983879818</v>
          </cell>
          <cell r="R502" t="str">
            <v>51302119340504044843</v>
          </cell>
          <cell r="S502" t="str">
            <v>肢体</v>
          </cell>
          <cell r="T502" t="str">
            <v>三级</v>
          </cell>
          <cell r="U502" t="str">
            <v>肢体三级;</v>
          </cell>
        </row>
        <row r="503">
          <cell r="B503" t="str">
            <v>51302119791022019X</v>
          </cell>
          <cell r="C503" t="str">
            <v>男</v>
          </cell>
          <cell r="D503" t="str">
            <v>汉族</v>
          </cell>
          <cell r="E503" t="str">
            <v>高中</v>
          </cell>
          <cell r="F503" t="str">
            <v>未婚</v>
          </cell>
          <cell r="G503" t="str">
            <v>非农业</v>
          </cell>
        </row>
        <row r="503">
          <cell r="I503" t="str">
            <v>18111799276</v>
          </cell>
          <cell r="J503" t="str">
            <v>石板街道</v>
          </cell>
          <cell r="K503" t="str">
            <v>石板社区</v>
          </cell>
          <cell r="L503" t="str">
            <v>四川省达州市达川区迎春街18号2栋1单元2楼2号</v>
          </cell>
          <cell r="M503" t="str">
            <v>四川省达州市达川区石板镇金刚街１号１９栋１楼６号</v>
          </cell>
        </row>
        <row r="503">
          <cell r="R503" t="str">
            <v>51302119791022019X13B2</v>
          </cell>
          <cell r="S503" t="str">
            <v>视力</v>
          </cell>
          <cell r="T503" t="str">
            <v>三级</v>
          </cell>
          <cell r="U503" t="str">
            <v>视力三级;</v>
          </cell>
        </row>
        <row r="504">
          <cell r="B504" t="str">
            <v>513021199212185445</v>
          </cell>
          <cell r="C504" t="str">
            <v>女</v>
          </cell>
          <cell r="D504" t="str">
            <v>汉族</v>
          </cell>
          <cell r="E504" t="str">
            <v>小学</v>
          </cell>
          <cell r="F504" t="str">
            <v>已婚</v>
          </cell>
          <cell r="G504" t="str">
            <v>非农业</v>
          </cell>
        </row>
        <row r="504">
          <cell r="I504" t="str">
            <v>13982885955</v>
          </cell>
          <cell r="J504" t="str">
            <v>石板街道</v>
          </cell>
          <cell r="K504" t="str">
            <v>石板社区</v>
          </cell>
          <cell r="L504" t="str">
            <v>四川省达州市达川区石板街道石板社区铜江路448号</v>
          </cell>
          <cell r="M504" t="str">
            <v>四川省达州市达川区石板街道石板社区铜江路448号</v>
          </cell>
          <cell r="N504" t="str">
            <v>文贵平</v>
          </cell>
          <cell r="O504" t="str">
            <v>配偶</v>
          </cell>
        </row>
        <row r="504">
          <cell r="Q504" t="str">
            <v>13982885955</v>
          </cell>
          <cell r="R504" t="str">
            <v>51302119921218544572B1</v>
          </cell>
          <cell r="S504" t="str">
            <v>多重</v>
          </cell>
          <cell r="T504" t="str">
            <v>二级</v>
          </cell>
          <cell r="U504" t="str">
            <v>智力三级;精神二级;</v>
          </cell>
        </row>
        <row r="505">
          <cell r="B505" t="str">
            <v>513021197509280014</v>
          </cell>
          <cell r="C505" t="str">
            <v>男</v>
          </cell>
          <cell r="D505" t="str">
            <v>汉族</v>
          </cell>
          <cell r="E505" t="str">
            <v>小学</v>
          </cell>
          <cell r="F505" t="str">
            <v>未婚</v>
          </cell>
          <cell r="G505" t="str">
            <v>非农业</v>
          </cell>
        </row>
        <row r="505">
          <cell r="I505" t="str">
            <v>13094501657</v>
          </cell>
          <cell r="J505" t="str">
            <v>石板街道</v>
          </cell>
          <cell r="K505" t="str">
            <v>石板社区</v>
          </cell>
          <cell r="L505" t="str">
            <v>四川省达县石板镇金刚街２号</v>
          </cell>
          <cell r="M505" t="str">
            <v>四川省达县石板镇金刚街２号</v>
          </cell>
          <cell r="N505" t="str">
            <v>冉瑞坤</v>
          </cell>
          <cell r="O505" t="str">
            <v>父母</v>
          </cell>
        </row>
        <row r="505">
          <cell r="Q505" t="str">
            <v>18282250426</v>
          </cell>
          <cell r="R505" t="str">
            <v>51302119750928001472</v>
          </cell>
          <cell r="S505" t="str">
            <v>多重</v>
          </cell>
          <cell r="T505" t="str">
            <v>二级</v>
          </cell>
          <cell r="U505" t="str">
            <v>肢体二级;精神三级;</v>
          </cell>
        </row>
        <row r="506">
          <cell r="B506" t="str">
            <v>362529196710212018</v>
          </cell>
          <cell r="C506" t="str">
            <v>男</v>
          </cell>
          <cell r="D506" t="str">
            <v>汉族</v>
          </cell>
          <cell r="E506" t="str">
            <v>小学</v>
          </cell>
          <cell r="F506" t="str">
            <v>已婚</v>
          </cell>
          <cell r="G506" t="str">
            <v>非农业</v>
          </cell>
        </row>
        <row r="506">
          <cell r="I506" t="str">
            <v>15881887299</v>
          </cell>
          <cell r="J506" t="str">
            <v>石板街道</v>
          </cell>
          <cell r="K506" t="str">
            <v>石板社区</v>
          </cell>
          <cell r="L506" t="str">
            <v>四川省达州市达川区石板街道石板社区政府街26号</v>
          </cell>
          <cell r="M506" t="str">
            <v>四川省达州市达川区石板街道石板社区政府街26号</v>
          </cell>
        </row>
        <row r="506">
          <cell r="R506" t="str">
            <v>36252919671021201844B1</v>
          </cell>
          <cell r="S506" t="str">
            <v>肢体</v>
          </cell>
          <cell r="T506" t="str">
            <v>四级</v>
          </cell>
          <cell r="U506" t="str">
            <v>肢体四级;</v>
          </cell>
        </row>
        <row r="507">
          <cell r="B507" t="str">
            <v>513021194404260195</v>
          </cell>
          <cell r="C507" t="str">
            <v>男</v>
          </cell>
          <cell r="D507" t="str">
            <v>汉族</v>
          </cell>
          <cell r="E507" t="str">
            <v>初中</v>
          </cell>
          <cell r="F507" t="str">
            <v>已婚</v>
          </cell>
          <cell r="G507" t="str">
            <v>非农业</v>
          </cell>
        </row>
        <row r="507">
          <cell r="I507" t="str">
            <v>15882943036</v>
          </cell>
          <cell r="J507" t="str">
            <v>石板街道</v>
          </cell>
          <cell r="K507" t="str">
            <v>石板社区</v>
          </cell>
          <cell r="L507" t="str">
            <v>四川省达州市达川区石板街道石板社区金刚街１号２１栋４楼７号</v>
          </cell>
          <cell r="M507" t="str">
            <v>四川省达州市达川区石板街道石板社区金刚街１号２１栋４楼７号</v>
          </cell>
        </row>
        <row r="507">
          <cell r="R507" t="str">
            <v>51302119440426019543</v>
          </cell>
          <cell r="S507" t="str">
            <v>肢体</v>
          </cell>
          <cell r="T507" t="str">
            <v>三级</v>
          </cell>
          <cell r="U507" t="str">
            <v>肢体三级;</v>
          </cell>
        </row>
        <row r="508">
          <cell r="B508" t="str">
            <v>513027196707216113</v>
          </cell>
          <cell r="C508" t="str">
            <v>男</v>
          </cell>
          <cell r="D508" t="str">
            <v>汉族</v>
          </cell>
          <cell r="E508" t="str">
            <v>初中</v>
          </cell>
          <cell r="F508" t="str">
            <v>已婚</v>
          </cell>
          <cell r="G508" t="str">
            <v>非农业</v>
          </cell>
        </row>
        <row r="508">
          <cell r="I508" t="str">
            <v>13982895276</v>
          </cell>
          <cell r="J508" t="str">
            <v>石板街道</v>
          </cell>
          <cell r="K508" t="str">
            <v>石板社区</v>
          </cell>
          <cell r="L508" t="str">
            <v>四川省达州市达川区石板镇金刚街2号</v>
          </cell>
          <cell r="M508" t="str">
            <v>四川省达州市达川区石板镇金刚街2号</v>
          </cell>
        </row>
        <row r="508">
          <cell r="R508" t="str">
            <v>51302719670721611343</v>
          </cell>
          <cell r="S508" t="str">
            <v>肢体</v>
          </cell>
          <cell r="T508" t="str">
            <v>三级</v>
          </cell>
          <cell r="U508" t="str">
            <v>肢体三级;</v>
          </cell>
        </row>
        <row r="509">
          <cell r="B509" t="str">
            <v>513021194801010237</v>
          </cell>
          <cell r="C509" t="str">
            <v>男</v>
          </cell>
          <cell r="D509" t="str">
            <v>汉族</v>
          </cell>
          <cell r="E509" t="str">
            <v>小学</v>
          </cell>
          <cell r="F509" t="str">
            <v>已婚</v>
          </cell>
          <cell r="G509" t="str">
            <v>非农业</v>
          </cell>
        </row>
        <row r="509">
          <cell r="I509" t="str">
            <v>15908387639</v>
          </cell>
          <cell r="J509" t="str">
            <v>石板街道</v>
          </cell>
          <cell r="K509" t="str">
            <v>石板社区</v>
          </cell>
          <cell r="L509" t="str">
            <v>四川省达州市达川区石板镇金刚街１号７栋５单元７号</v>
          </cell>
          <cell r="M509" t="str">
            <v>四川省达州市达川区石板镇金刚街１号７栋５单元７号</v>
          </cell>
        </row>
        <row r="509">
          <cell r="R509" t="str">
            <v>51302119480101023744</v>
          </cell>
          <cell r="S509" t="str">
            <v>肢体</v>
          </cell>
          <cell r="T509" t="str">
            <v>四级</v>
          </cell>
          <cell r="U509" t="str">
            <v>肢体四级;</v>
          </cell>
        </row>
        <row r="510">
          <cell r="B510" t="str">
            <v>51302119750113045X</v>
          </cell>
          <cell r="C510" t="str">
            <v>男</v>
          </cell>
          <cell r="D510" t="str">
            <v>汉族</v>
          </cell>
          <cell r="E510" t="str">
            <v>初中</v>
          </cell>
          <cell r="F510" t="str">
            <v>已婚</v>
          </cell>
          <cell r="G510" t="str">
            <v>非农业</v>
          </cell>
        </row>
        <row r="510">
          <cell r="I510" t="str">
            <v>0000000</v>
          </cell>
          <cell r="J510" t="str">
            <v>石板街道</v>
          </cell>
          <cell r="K510" t="str">
            <v>石板社区</v>
          </cell>
          <cell r="L510" t="str">
            <v>四川省达州市达川区石板镇政府街２９４号</v>
          </cell>
          <cell r="M510" t="str">
            <v>四川省达县石板镇政府街２９４号</v>
          </cell>
        </row>
        <row r="510">
          <cell r="R510" t="str">
            <v>51302119750113045X44</v>
          </cell>
          <cell r="S510" t="str">
            <v>肢体</v>
          </cell>
          <cell r="T510" t="str">
            <v>四级</v>
          </cell>
          <cell r="U510" t="str">
            <v>肢体四级;</v>
          </cell>
        </row>
        <row r="511">
          <cell r="B511" t="str">
            <v>513021196607120191</v>
          </cell>
          <cell r="C511" t="str">
            <v>男</v>
          </cell>
          <cell r="D511" t="str">
            <v>汉族</v>
          </cell>
          <cell r="E511" t="str">
            <v>初中</v>
          </cell>
          <cell r="F511" t="str">
            <v>已婚</v>
          </cell>
          <cell r="G511" t="str">
            <v>非农业</v>
          </cell>
        </row>
        <row r="511">
          <cell r="I511" t="str">
            <v>13795965873</v>
          </cell>
          <cell r="J511" t="str">
            <v>石板街道</v>
          </cell>
          <cell r="K511" t="str">
            <v>石板社区</v>
          </cell>
          <cell r="L511" t="str">
            <v>四川省达州市达川区石板镇金刚街１号３３栋１单元６号</v>
          </cell>
          <cell r="M511" t="str">
            <v>四川省达州市达川区石板镇金刚街１号３３栋１单元６号</v>
          </cell>
        </row>
        <row r="511">
          <cell r="R511" t="str">
            <v>51302119660712019144</v>
          </cell>
          <cell r="S511" t="str">
            <v>肢体</v>
          </cell>
          <cell r="T511" t="str">
            <v>四级</v>
          </cell>
          <cell r="U511" t="str">
            <v>肢体四级;</v>
          </cell>
        </row>
        <row r="512">
          <cell r="B512" t="str">
            <v>513027197111130719</v>
          </cell>
          <cell r="C512" t="str">
            <v>男</v>
          </cell>
          <cell r="D512" t="str">
            <v>汉族</v>
          </cell>
          <cell r="E512" t="str">
            <v>初中</v>
          </cell>
          <cell r="F512" t="str">
            <v>已婚</v>
          </cell>
          <cell r="G512" t="str">
            <v>非农业</v>
          </cell>
        </row>
        <row r="512">
          <cell r="I512" t="str">
            <v>17781925817</v>
          </cell>
          <cell r="J512" t="str">
            <v>石板街道</v>
          </cell>
          <cell r="K512" t="str">
            <v>石板社区</v>
          </cell>
          <cell r="L512" t="str">
            <v>四川省达州市达川区石板镇金刚煤矿矿区居民委员会金刚街2号</v>
          </cell>
          <cell r="M512" t="str">
            <v>四川省达州市达川区石板镇金刚煤矿矿区居民委员会金刚街2号</v>
          </cell>
        </row>
        <row r="512">
          <cell r="R512" t="str">
            <v>51302719711113071923</v>
          </cell>
          <cell r="S512" t="str">
            <v>听力</v>
          </cell>
          <cell r="T512" t="str">
            <v>三级</v>
          </cell>
          <cell r="U512" t="str">
            <v>听力三级;</v>
          </cell>
        </row>
        <row r="513">
          <cell r="B513" t="str">
            <v>513021197209010231</v>
          </cell>
          <cell r="C513" t="str">
            <v>男</v>
          </cell>
          <cell r="D513" t="str">
            <v>汉族</v>
          </cell>
          <cell r="E513" t="str">
            <v>初中</v>
          </cell>
          <cell r="F513" t="str">
            <v>已婚</v>
          </cell>
          <cell r="G513" t="str">
            <v>非农业</v>
          </cell>
        </row>
        <row r="513">
          <cell r="I513" t="str">
            <v>13036302831</v>
          </cell>
          <cell r="J513" t="str">
            <v>石板街道</v>
          </cell>
          <cell r="K513" t="str">
            <v>石板社区</v>
          </cell>
          <cell r="L513" t="str">
            <v>四川省达州市达川区石板镇金刚街１号３０栋２单元４号</v>
          </cell>
          <cell r="M513" t="str">
            <v>四川省达州市达川区石板镇金刚街１号３０栋２单元４号</v>
          </cell>
          <cell r="N513" t="str">
            <v>罗华英</v>
          </cell>
          <cell r="O513" t="str">
            <v>配偶</v>
          </cell>
        </row>
        <row r="513">
          <cell r="Q513" t="str">
            <v>13036302831</v>
          </cell>
          <cell r="R513" t="str">
            <v>51302119720901023163</v>
          </cell>
          <cell r="S513" t="str">
            <v>精神</v>
          </cell>
          <cell r="T513" t="str">
            <v>三级</v>
          </cell>
          <cell r="U513" t="str">
            <v>精神三级;</v>
          </cell>
        </row>
        <row r="514">
          <cell r="B514" t="str">
            <v>513021193801200191</v>
          </cell>
          <cell r="C514" t="str">
            <v>男</v>
          </cell>
          <cell r="D514" t="str">
            <v>汉族</v>
          </cell>
          <cell r="E514" t="str">
            <v>小学</v>
          </cell>
          <cell r="F514" t="str">
            <v>已婚</v>
          </cell>
          <cell r="G514" t="str">
            <v>非农业</v>
          </cell>
        </row>
        <row r="514">
          <cell r="I514" t="str">
            <v>0000000</v>
          </cell>
          <cell r="J514" t="str">
            <v>石板街道</v>
          </cell>
          <cell r="K514" t="str">
            <v>石板社区</v>
          </cell>
          <cell r="L514" t="str">
            <v>四川省达州市达川区石板镇金刚街１号１９栋２楼７号</v>
          </cell>
          <cell r="M514" t="str">
            <v>四川省达县石板镇金刚街１号１９栋２楼７号</v>
          </cell>
        </row>
        <row r="514">
          <cell r="R514" t="str">
            <v>51302119380120019142</v>
          </cell>
          <cell r="S514" t="str">
            <v>肢体</v>
          </cell>
          <cell r="T514" t="str">
            <v>二级</v>
          </cell>
          <cell r="U514" t="str">
            <v>肢体二级;</v>
          </cell>
        </row>
        <row r="515">
          <cell r="B515" t="str">
            <v>513021195007010197</v>
          </cell>
          <cell r="C515" t="str">
            <v>男</v>
          </cell>
          <cell r="D515" t="str">
            <v>汉族</v>
          </cell>
          <cell r="E515" t="str">
            <v>小学</v>
          </cell>
          <cell r="F515" t="str">
            <v>已婚</v>
          </cell>
          <cell r="G515" t="str">
            <v>非农业</v>
          </cell>
        </row>
        <row r="515">
          <cell r="I515" t="str">
            <v>18282293351</v>
          </cell>
          <cell r="J515" t="str">
            <v>石板街道</v>
          </cell>
          <cell r="K515" t="str">
            <v>石板社区</v>
          </cell>
          <cell r="L515" t="str">
            <v>四川省达州市达川区石板镇金刚街１号１３栋２单元１号</v>
          </cell>
          <cell r="M515" t="str">
            <v>四川省达州市达川区石板镇金刚街１号１３栋２单元１号</v>
          </cell>
        </row>
        <row r="515">
          <cell r="R515" t="str">
            <v>51302119500701019743</v>
          </cell>
          <cell r="S515" t="str">
            <v>肢体</v>
          </cell>
          <cell r="T515" t="str">
            <v>三级</v>
          </cell>
          <cell r="U515" t="str">
            <v>肢体三级;</v>
          </cell>
        </row>
        <row r="516">
          <cell r="B516" t="str">
            <v>513021195209270448</v>
          </cell>
          <cell r="C516" t="str">
            <v>女</v>
          </cell>
          <cell r="D516" t="str">
            <v>汉族</v>
          </cell>
          <cell r="E516" t="str">
            <v>小学</v>
          </cell>
          <cell r="F516" t="str">
            <v>已婚</v>
          </cell>
          <cell r="G516" t="str">
            <v>非农业</v>
          </cell>
        </row>
        <row r="516">
          <cell r="I516" t="str">
            <v>13547235577</v>
          </cell>
          <cell r="J516" t="str">
            <v>石板街道</v>
          </cell>
          <cell r="K516" t="str">
            <v>石板社区</v>
          </cell>
          <cell r="L516" t="str">
            <v>四川省达州市达川区石板镇铜江路５６号</v>
          </cell>
          <cell r="M516" t="str">
            <v>四川省达州市达川区石板镇铜江路５６号</v>
          </cell>
        </row>
        <row r="516">
          <cell r="R516" t="str">
            <v>51302119520927044844</v>
          </cell>
          <cell r="S516" t="str">
            <v>肢体</v>
          </cell>
          <cell r="T516" t="str">
            <v>四级</v>
          </cell>
          <cell r="U516" t="str">
            <v>肢体四级;</v>
          </cell>
        </row>
        <row r="517">
          <cell r="B517" t="str">
            <v>513022197208131994</v>
          </cell>
          <cell r="C517" t="str">
            <v>男</v>
          </cell>
          <cell r="D517" t="str">
            <v>汉族</v>
          </cell>
          <cell r="E517" t="str">
            <v>初中</v>
          </cell>
          <cell r="F517" t="str">
            <v>已婚</v>
          </cell>
          <cell r="G517" t="str">
            <v>非农业</v>
          </cell>
        </row>
        <row r="517">
          <cell r="I517" t="str">
            <v>18780866860</v>
          </cell>
          <cell r="J517" t="str">
            <v>石板街道</v>
          </cell>
          <cell r="K517" t="str">
            <v>石板社区</v>
          </cell>
          <cell r="L517" t="str">
            <v>四川省达州市达川区石板镇金刚街１号９幢１楼２９号</v>
          </cell>
          <cell r="M517" t="str">
            <v>四川省达州市达川区石板镇金刚街１号９幢１楼２９号</v>
          </cell>
        </row>
        <row r="517">
          <cell r="R517" t="str">
            <v>51302219720813199443</v>
          </cell>
          <cell r="S517" t="str">
            <v>肢体</v>
          </cell>
          <cell r="T517" t="str">
            <v>三级</v>
          </cell>
          <cell r="U517" t="str">
            <v>肢体三级;</v>
          </cell>
        </row>
        <row r="518">
          <cell r="B518" t="str">
            <v>513021194910240197</v>
          </cell>
          <cell r="C518" t="str">
            <v>男</v>
          </cell>
          <cell r="D518" t="str">
            <v>汉族</v>
          </cell>
          <cell r="E518" t="str">
            <v>小学</v>
          </cell>
          <cell r="F518" t="str">
            <v>已婚</v>
          </cell>
          <cell r="G518" t="str">
            <v>非农业</v>
          </cell>
        </row>
        <row r="518">
          <cell r="I518" t="str">
            <v>00000000</v>
          </cell>
          <cell r="J518" t="str">
            <v>石板街道</v>
          </cell>
          <cell r="K518" t="str">
            <v>石板社区</v>
          </cell>
          <cell r="L518" t="str">
            <v>四川省达县石板镇金刚街１号２栋３号</v>
          </cell>
          <cell r="M518" t="str">
            <v>四川省达县石板镇金刚街１号２栋３号</v>
          </cell>
          <cell r="N518" t="str">
            <v>杨桂芳</v>
          </cell>
          <cell r="O518" t="str">
            <v>配偶</v>
          </cell>
        </row>
        <row r="518">
          <cell r="Q518" t="str">
            <v>00000000</v>
          </cell>
          <cell r="R518" t="str">
            <v>51302119491024019744</v>
          </cell>
          <cell r="S518" t="str">
            <v>肢体</v>
          </cell>
          <cell r="T518" t="str">
            <v>四级</v>
          </cell>
          <cell r="U518" t="str">
            <v>肢体四级;</v>
          </cell>
        </row>
        <row r="519">
          <cell r="B519" t="str">
            <v>513021194812210218</v>
          </cell>
          <cell r="C519" t="str">
            <v>男</v>
          </cell>
          <cell r="D519" t="str">
            <v>汉族</v>
          </cell>
          <cell r="E519" t="str">
            <v>小学</v>
          </cell>
          <cell r="F519" t="str">
            <v>已婚</v>
          </cell>
          <cell r="G519" t="str">
            <v>非农业</v>
          </cell>
        </row>
        <row r="519">
          <cell r="I519" t="str">
            <v>0818-2311049</v>
          </cell>
          <cell r="J519" t="str">
            <v>石板街道</v>
          </cell>
          <cell r="K519" t="str">
            <v>石板社区</v>
          </cell>
          <cell r="L519" t="str">
            <v>四川省达县石板镇金刚街１号１０栋２单元３号</v>
          </cell>
          <cell r="M519" t="str">
            <v>四川省达县石板镇金刚街１号１０栋２单元３号</v>
          </cell>
        </row>
        <row r="519">
          <cell r="R519" t="str">
            <v>51302119481221021844</v>
          </cell>
          <cell r="S519" t="str">
            <v>肢体</v>
          </cell>
          <cell r="T519" t="str">
            <v>四级</v>
          </cell>
          <cell r="U519" t="str">
            <v>肢体四级;</v>
          </cell>
        </row>
        <row r="520">
          <cell r="B520" t="str">
            <v>513001195610080645</v>
          </cell>
          <cell r="C520" t="str">
            <v>女</v>
          </cell>
          <cell r="D520" t="str">
            <v>汉族</v>
          </cell>
          <cell r="E520" t="str">
            <v>高中</v>
          </cell>
          <cell r="F520" t="str">
            <v>已婚</v>
          </cell>
          <cell r="G520" t="str">
            <v>非农业</v>
          </cell>
        </row>
        <row r="520">
          <cell r="I520" t="str">
            <v>13547259760</v>
          </cell>
          <cell r="J520" t="str">
            <v>石板街道</v>
          </cell>
          <cell r="K520" t="str">
            <v>石板社区</v>
          </cell>
          <cell r="L520" t="str">
            <v>四川省达州市达川区石板街道石板社区中山路６号附１４号</v>
          </cell>
          <cell r="M520" t="str">
            <v>四川省达州市达川区石板街道石板社区中山路６号附１４号</v>
          </cell>
        </row>
        <row r="520">
          <cell r="R520" t="str">
            <v>51300119561008064542</v>
          </cell>
          <cell r="S520" t="str">
            <v>肢体</v>
          </cell>
          <cell r="T520" t="str">
            <v>二级</v>
          </cell>
          <cell r="U520" t="str">
            <v>肢体二级;</v>
          </cell>
        </row>
        <row r="521">
          <cell r="B521" t="str">
            <v>51302119560328045X</v>
          </cell>
          <cell r="C521" t="str">
            <v>男</v>
          </cell>
          <cell r="D521" t="str">
            <v>汉族</v>
          </cell>
          <cell r="E521" t="str">
            <v>小学</v>
          </cell>
          <cell r="F521" t="str">
            <v>已婚</v>
          </cell>
          <cell r="G521" t="str">
            <v>非农业</v>
          </cell>
        </row>
        <row r="521">
          <cell r="I521" t="str">
            <v>13320830592</v>
          </cell>
          <cell r="J521" t="str">
            <v>石板街道</v>
          </cell>
          <cell r="K521" t="str">
            <v>石板社区</v>
          </cell>
          <cell r="L521" t="str">
            <v>四川省达州市达川区石板街道石板社区政府街600号</v>
          </cell>
          <cell r="M521" t="str">
            <v>四川省达州市达川区石板街道石板社区政府街600号</v>
          </cell>
        </row>
        <row r="521">
          <cell r="R521" t="str">
            <v>51302119560328045X44</v>
          </cell>
          <cell r="S521" t="str">
            <v>肢体</v>
          </cell>
          <cell r="T521" t="str">
            <v>四级</v>
          </cell>
          <cell r="U521" t="str">
            <v>肢体四级;</v>
          </cell>
        </row>
        <row r="522">
          <cell r="B522" t="str">
            <v>513021195512060195</v>
          </cell>
          <cell r="C522" t="str">
            <v>男</v>
          </cell>
          <cell r="D522" t="str">
            <v>汉族</v>
          </cell>
          <cell r="E522" t="str">
            <v>小学</v>
          </cell>
          <cell r="F522" t="str">
            <v>已婚</v>
          </cell>
          <cell r="G522" t="str">
            <v>非农业</v>
          </cell>
        </row>
        <row r="522">
          <cell r="I522" t="str">
            <v>15181469163</v>
          </cell>
          <cell r="J522" t="str">
            <v>石板街道</v>
          </cell>
          <cell r="K522" t="str">
            <v>石板社区</v>
          </cell>
          <cell r="L522" t="str">
            <v>四川省达州市达川区石板镇金刚街２号</v>
          </cell>
          <cell r="M522" t="str">
            <v>四川省达州市达川区石板镇金刚街２号</v>
          </cell>
        </row>
        <row r="522">
          <cell r="R522" t="str">
            <v>51302119551206019543</v>
          </cell>
          <cell r="S522" t="str">
            <v>肢体</v>
          </cell>
          <cell r="T522" t="str">
            <v>三级</v>
          </cell>
          <cell r="U522" t="str">
            <v>肢体三级;</v>
          </cell>
        </row>
        <row r="523">
          <cell r="B523" t="str">
            <v>513021195109230203</v>
          </cell>
          <cell r="C523" t="str">
            <v>女</v>
          </cell>
          <cell r="D523" t="str">
            <v>汉族</v>
          </cell>
          <cell r="E523" t="str">
            <v>小学</v>
          </cell>
          <cell r="F523" t="str">
            <v>已婚</v>
          </cell>
          <cell r="G523" t="str">
            <v>非农业</v>
          </cell>
        </row>
        <row r="523">
          <cell r="I523" t="str">
            <v>18781888538</v>
          </cell>
          <cell r="J523" t="str">
            <v>石板街道</v>
          </cell>
          <cell r="K523" t="str">
            <v>石板社区</v>
          </cell>
          <cell r="L523" t="str">
            <v>四川省达州市达川区石板镇金刚街１号３５栋２单元８号</v>
          </cell>
          <cell r="M523" t="str">
            <v>四川省达州市达川区石板镇金刚街１号３５栋２单元８号</v>
          </cell>
          <cell r="N523" t="str">
            <v>李小计</v>
          </cell>
          <cell r="O523" t="str">
            <v>子</v>
          </cell>
        </row>
        <row r="523">
          <cell r="Q523" t="str">
            <v>18781888538</v>
          </cell>
          <cell r="R523" t="str">
            <v>51302119510923020342</v>
          </cell>
          <cell r="S523" t="str">
            <v>肢体</v>
          </cell>
          <cell r="T523" t="str">
            <v>二级</v>
          </cell>
          <cell r="U523" t="str">
            <v>肢体二级;</v>
          </cell>
        </row>
        <row r="524">
          <cell r="B524" t="str">
            <v>513022196609025899</v>
          </cell>
          <cell r="C524" t="str">
            <v>男</v>
          </cell>
          <cell r="D524" t="str">
            <v>汉族</v>
          </cell>
          <cell r="E524" t="str">
            <v>初中</v>
          </cell>
          <cell r="F524" t="str">
            <v>已婚</v>
          </cell>
          <cell r="G524" t="str">
            <v>非农业</v>
          </cell>
        </row>
        <row r="524">
          <cell r="I524" t="str">
            <v>13629060512</v>
          </cell>
          <cell r="J524" t="str">
            <v>石板街道</v>
          </cell>
          <cell r="K524" t="str">
            <v>石板社区</v>
          </cell>
          <cell r="L524" t="str">
            <v>四川省达州市达川区石板镇金刚街２号</v>
          </cell>
          <cell r="M524" t="str">
            <v>四川省达州市达川区石板镇金刚街２号</v>
          </cell>
        </row>
        <row r="524">
          <cell r="R524" t="str">
            <v>51302219660902589943</v>
          </cell>
          <cell r="S524" t="str">
            <v>肢体</v>
          </cell>
          <cell r="T524" t="str">
            <v>三级</v>
          </cell>
          <cell r="U524" t="str">
            <v>肢体三级;</v>
          </cell>
        </row>
        <row r="525">
          <cell r="B525" t="str">
            <v>513021195510090454</v>
          </cell>
          <cell r="C525" t="str">
            <v>男</v>
          </cell>
          <cell r="D525" t="str">
            <v>汉族</v>
          </cell>
          <cell r="E525" t="str">
            <v>初中</v>
          </cell>
          <cell r="F525" t="str">
            <v>已婚</v>
          </cell>
          <cell r="G525" t="str">
            <v>非农业</v>
          </cell>
        </row>
        <row r="525">
          <cell r="I525" t="str">
            <v>18381486580</v>
          </cell>
          <cell r="J525" t="str">
            <v>石板街道</v>
          </cell>
          <cell r="K525" t="str">
            <v>石板社区</v>
          </cell>
          <cell r="L525" t="str">
            <v>四川省达州市达川区石板街道石板社区铜江路５１号</v>
          </cell>
          <cell r="M525" t="str">
            <v>四川省达州市达川区石板街道石板社区铜江路５１号</v>
          </cell>
        </row>
        <row r="525">
          <cell r="R525" t="str">
            <v>51302119551009045444</v>
          </cell>
          <cell r="S525" t="str">
            <v>肢体</v>
          </cell>
          <cell r="T525" t="str">
            <v>四级</v>
          </cell>
          <cell r="U525" t="str">
            <v>肢体四级;</v>
          </cell>
        </row>
        <row r="526">
          <cell r="B526" t="str">
            <v>513021194205090218</v>
          </cell>
          <cell r="C526" t="str">
            <v>男</v>
          </cell>
          <cell r="D526" t="str">
            <v>汉族</v>
          </cell>
          <cell r="E526" t="str">
            <v>小学</v>
          </cell>
          <cell r="F526" t="str">
            <v>已婚</v>
          </cell>
          <cell r="G526" t="str">
            <v>非农业</v>
          </cell>
        </row>
        <row r="526">
          <cell r="I526" t="str">
            <v>0818-2311049</v>
          </cell>
          <cell r="J526" t="str">
            <v>石板街道</v>
          </cell>
          <cell r="K526" t="str">
            <v>石板社区</v>
          </cell>
          <cell r="L526" t="str">
            <v>四川省达县石板镇金刚街１号１０栋１单元１号</v>
          </cell>
          <cell r="M526" t="str">
            <v>四川省达县石板镇金刚街１号１０栋１单元１号</v>
          </cell>
        </row>
        <row r="526">
          <cell r="R526" t="str">
            <v>51302119420509021811</v>
          </cell>
          <cell r="S526" t="str">
            <v>视力</v>
          </cell>
          <cell r="T526" t="str">
            <v>一级</v>
          </cell>
          <cell r="U526" t="str">
            <v>视力一级;</v>
          </cell>
        </row>
        <row r="527">
          <cell r="B527" t="str">
            <v>513021199802040019</v>
          </cell>
          <cell r="C527" t="str">
            <v>男</v>
          </cell>
          <cell r="D527" t="str">
            <v>汉族</v>
          </cell>
          <cell r="E527" t="str">
            <v>小学</v>
          </cell>
          <cell r="F527" t="str">
            <v>未婚</v>
          </cell>
          <cell r="G527" t="str">
            <v>非农业</v>
          </cell>
        </row>
        <row r="527">
          <cell r="I527" t="str">
            <v>18881838310</v>
          </cell>
          <cell r="J527" t="str">
            <v>石板街道</v>
          </cell>
          <cell r="K527" t="str">
            <v>石板社区</v>
          </cell>
          <cell r="L527" t="str">
            <v>四川省达州市达川区石板镇金刚街１号３５幢２单元８号</v>
          </cell>
          <cell r="M527" t="str">
            <v>四川省达州市达川区石板镇金刚街１号３５幢２单元８号</v>
          </cell>
          <cell r="N527" t="str">
            <v>李岗</v>
          </cell>
          <cell r="O527" t="str">
            <v>父母</v>
          </cell>
        </row>
        <row r="527">
          <cell r="Q527" t="str">
            <v>18881838310</v>
          </cell>
          <cell r="R527" t="str">
            <v>51302119980204001953</v>
          </cell>
          <cell r="S527" t="str">
            <v>智力</v>
          </cell>
          <cell r="T527" t="str">
            <v>三级</v>
          </cell>
          <cell r="U527" t="str">
            <v>智力三级;</v>
          </cell>
        </row>
        <row r="528">
          <cell r="B528" t="str">
            <v>512223196406263930</v>
          </cell>
          <cell r="C528" t="str">
            <v>男</v>
          </cell>
          <cell r="D528" t="str">
            <v>汉族</v>
          </cell>
          <cell r="E528" t="str">
            <v>初中</v>
          </cell>
          <cell r="F528" t="str">
            <v>已婚</v>
          </cell>
          <cell r="G528" t="str">
            <v>非农业</v>
          </cell>
        </row>
        <row r="528">
          <cell r="I528" t="str">
            <v>13982895149</v>
          </cell>
          <cell r="J528" t="str">
            <v>石板街道</v>
          </cell>
          <cell r="K528" t="str">
            <v>石板社区</v>
          </cell>
          <cell r="L528" t="str">
            <v>四川省达州市达川区石板镇金刚街２号</v>
          </cell>
          <cell r="M528" t="str">
            <v>四川省达州市达川区石板镇金刚街２号</v>
          </cell>
        </row>
        <row r="528">
          <cell r="R528" t="str">
            <v>51222319640626393044</v>
          </cell>
          <cell r="S528" t="str">
            <v>肢体</v>
          </cell>
          <cell r="T528" t="str">
            <v>四级</v>
          </cell>
          <cell r="U528" t="str">
            <v>肢体四级;</v>
          </cell>
        </row>
        <row r="529">
          <cell r="B529" t="str">
            <v>513021197410220193</v>
          </cell>
          <cell r="C529" t="str">
            <v>男</v>
          </cell>
          <cell r="D529" t="str">
            <v>汉族</v>
          </cell>
          <cell r="E529" t="str">
            <v>初中</v>
          </cell>
          <cell r="F529" t="str">
            <v>已婚</v>
          </cell>
          <cell r="G529" t="str">
            <v>非农业</v>
          </cell>
        </row>
        <row r="529">
          <cell r="I529" t="str">
            <v>13404049516</v>
          </cell>
          <cell r="J529" t="str">
            <v>石板街道</v>
          </cell>
          <cell r="K529" t="str">
            <v>石板社区</v>
          </cell>
          <cell r="L529" t="str">
            <v>四川省达州市达川区石板镇金刚街１号２栋２４号</v>
          </cell>
          <cell r="M529" t="str">
            <v>四川省达县石板镇金刚街１号２栋２４号</v>
          </cell>
        </row>
        <row r="529">
          <cell r="R529" t="str">
            <v>51302119741022019322</v>
          </cell>
          <cell r="S529" t="str">
            <v>听力</v>
          </cell>
          <cell r="T529" t="str">
            <v>二级</v>
          </cell>
          <cell r="U529" t="str">
            <v>听力二级;</v>
          </cell>
        </row>
        <row r="530">
          <cell r="B530" t="str">
            <v>513021197904090202</v>
          </cell>
          <cell r="C530" t="str">
            <v>女</v>
          </cell>
          <cell r="D530" t="str">
            <v>汉族</v>
          </cell>
          <cell r="E530" t="str">
            <v>初中</v>
          </cell>
          <cell r="F530" t="str">
            <v>未婚</v>
          </cell>
          <cell r="G530" t="str">
            <v>非农业</v>
          </cell>
        </row>
        <row r="530">
          <cell r="I530" t="str">
            <v>14781836886</v>
          </cell>
          <cell r="J530" t="str">
            <v>石板街道</v>
          </cell>
          <cell r="K530" t="str">
            <v>石板社区</v>
          </cell>
          <cell r="L530" t="str">
            <v>四川省达州市达川区石板街道金刚煤矿矿区居民委员会金刚街２号</v>
          </cell>
          <cell r="M530" t="str">
            <v>四川省达州市达川区石板街道金刚煤矿矿区居民委员会金刚街２号</v>
          </cell>
          <cell r="N530" t="str">
            <v>陈碧</v>
          </cell>
          <cell r="O530" t="str">
            <v>兄/弟/姐/妹</v>
          </cell>
        </row>
        <row r="530">
          <cell r="Q530" t="str">
            <v>13795684562</v>
          </cell>
          <cell r="R530" t="str">
            <v>51302119790409020262</v>
          </cell>
          <cell r="S530" t="str">
            <v>精神</v>
          </cell>
          <cell r="T530" t="str">
            <v>二级</v>
          </cell>
          <cell r="U530" t="str">
            <v>精神二级;</v>
          </cell>
        </row>
        <row r="531">
          <cell r="B531" t="str">
            <v>513021196711240206</v>
          </cell>
          <cell r="C531" t="str">
            <v>女</v>
          </cell>
          <cell r="D531" t="str">
            <v>汉族</v>
          </cell>
          <cell r="E531" t="str">
            <v>初中</v>
          </cell>
          <cell r="F531" t="str">
            <v>已婚</v>
          </cell>
          <cell r="G531" t="str">
            <v>非农业</v>
          </cell>
        </row>
        <row r="531">
          <cell r="I531" t="str">
            <v>18284640398</v>
          </cell>
          <cell r="J531" t="str">
            <v>石板街道</v>
          </cell>
          <cell r="K531" t="str">
            <v>石板社区</v>
          </cell>
          <cell r="L531" t="str">
            <v>四川省达州市达川区石板镇中山路１４号３楼１７号</v>
          </cell>
          <cell r="M531" t="str">
            <v>四川省达县石板镇中山路１４号３楼１７号</v>
          </cell>
        </row>
        <row r="531">
          <cell r="R531" t="str">
            <v>51302119671124020624</v>
          </cell>
          <cell r="S531" t="str">
            <v>听力</v>
          </cell>
          <cell r="T531" t="str">
            <v>四级</v>
          </cell>
          <cell r="U531" t="str">
            <v>听力四级;</v>
          </cell>
        </row>
        <row r="532">
          <cell r="B532" t="str">
            <v>513021197302050457</v>
          </cell>
          <cell r="C532" t="str">
            <v>男</v>
          </cell>
          <cell r="D532" t="str">
            <v>汉族</v>
          </cell>
          <cell r="E532" t="str">
            <v>初中</v>
          </cell>
          <cell r="F532" t="str">
            <v>已婚</v>
          </cell>
          <cell r="G532" t="str">
            <v>非农业</v>
          </cell>
        </row>
        <row r="532">
          <cell r="I532" t="str">
            <v>00000000000</v>
          </cell>
          <cell r="J532" t="str">
            <v>石板街道</v>
          </cell>
          <cell r="K532" t="str">
            <v>石板社区</v>
          </cell>
          <cell r="L532" t="str">
            <v>四川省达州市达川区石板镇铜江路１３８号</v>
          </cell>
          <cell r="M532" t="str">
            <v>四川省达县石板镇铜江路１３８号</v>
          </cell>
        </row>
        <row r="532">
          <cell r="R532" t="str">
            <v>51302119730205045724</v>
          </cell>
          <cell r="S532" t="str">
            <v>听力</v>
          </cell>
          <cell r="T532" t="str">
            <v>四级</v>
          </cell>
          <cell r="U532" t="str">
            <v>听力四级;</v>
          </cell>
        </row>
        <row r="533">
          <cell r="B533" t="str">
            <v>513027197210120882</v>
          </cell>
          <cell r="C533" t="str">
            <v>女</v>
          </cell>
          <cell r="D533" t="str">
            <v>汉族</v>
          </cell>
          <cell r="E533" t="str">
            <v>小学</v>
          </cell>
          <cell r="F533" t="str">
            <v>已婚</v>
          </cell>
          <cell r="G533" t="str">
            <v>非农业</v>
          </cell>
        </row>
        <row r="533">
          <cell r="I533" t="str">
            <v>000000000</v>
          </cell>
          <cell r="J533" t="str">
            <v>石板街道</v>
          </cell>
          <cell r="K533" t="str">
            <v>石板社区</v>
          </cell>
          <cell r="L533" t="str">
            <v>四川省达州市达川区石板镇金刚街２号</v>
          </cell>
          <cell r="M533" t="str">
            <v>四川省达县石板镇金刚街２号</v>
          </cell>
        </row>
        <row r="533">
          <cell r="R533" t="str">
            <v>51302719721012088224</v>
          </cell>
          <cell r="S533" t="str">
            <v>听力</v>
          </cell>
          <cell r="T533" t="str">
            <v>四级</v>
          </cell>
          <cell r="U533" t="str">
            <v>听力四级;</v>
          </cell>
        </row>
        <row r="534">
          <cell r="B534" t="str">
            <v>51302119470501019X</v>
          </cell>
          <cell r="C534" t="str">
            <v>男</v>
          </cell>
          <cell r="D534" t="str">
            <v>汉族</v>
          </cell>
          <cell r="E534" t="str">
            <v>小学</v>
          </cell>
          <cell r="F534" t="str">
            <v>已婚</v>
          </cell>
          <cell r="G534" t="str">
            <v>非农业</v>
          </cell>
        </row>
        <row r="534">
          <cell r="I534" t="str">
            <v>15281860006</v>
          </cell>
          <cell r="J534" t="str">
            <v>石板街道</v>
          </cell>
          <cell r="K534" t="str">
            <v>石板社区</v>
          </cell>
          <cell r="L534" t="str">
            <v>四川省达州市达川区石板镇金刚街１号１１栋４单元２号</v>
          </cell>
          <cell r="M534" t="str">
            <v>四川省达州市达川区石板镇金刚街１号１１栋４单元２号</v>
          </cell>
        </row>
        <row r="534">
          <cell r="R534" t="str">
            <v>51302119470501019X44B1</v>
          </cell>
          <cell r="S534" t="str">
            <v>肢体</v>
          </cell>
          <cell r="T534" t="str">
            <v>四级</v>
          </cell>
          <cell r="U534" t="str">
            <v>肢体四级;</v>
          </cell>
        </row>
        <row r="535">
          <cell r="B535" t="str">
            <v>513021194603220196</v>
          </cell>
          <cell r="C535" t="str">
            <v>男</v>
          </cell>
          <cell r="D535" t="str">
            <v>汉族</v>
          </cell>
          <cell r="E535" t="str">
            <v>小学</v>
          </cell>
          <cell r="F535" t="str">
            <v>已婚</v>
          </cell>
          <cell r="G535" t="str">
            <v>非农业</v>
          </cell>
        </row>
        <row r="535">
          <cell r="I535" t="str">
            <v>000000000</v>
          </cell>
          <cell r="J535" t="str">
            <v>石板街道</v>
          </cell>
          <cell r="K535" t="str">
            <v>石板社区</v>
          </cell>
          <cell r="L535" t="str">
            <v>四川省达州市达川区石板镇金刚街１号３２栋２单元９号</v>
          </cell>
          <cell r="M535" t="str">
            <v>四川省达州市达川区石板镇金刚街１号３２栋２单元９号</v>
          </cell>
        </row>
        <row r="535">
          <cell r="R535" t="str">
            <v>51302119460322019643</v>
          </cell>
          <cell r="S535" t="str">
            <v>肢体</v>
          </cell>
          <cell r="T535" t="str">
            <v>三级</v>
          </cell>
          <cell r="U535" t="str">
            <v>肢体三级;</v>
          </cell>
        </row>
        <row r="536">
          <cell r="B536" t="str">
            <v>513021197912250448</v>
          </cell>
          <cell r="C536" t="str">
            <v>女</v>
          </cell>
          <cell r="D536" t="str">
            <v>汉族</v>
          </cell>
          <cell r="E536" t="str">
            <v>高中</v>
          </cell>
          <cell r="F536" t="str">
            <v>已婚</v>
          </cell>
          <cell r="G536" t="str">
            <v>农业</v>
          </cell>
        </row>
        <row r="536">
          <cell r="I536" t="str">
            <v>3421296</v>
          </cell>
          <cell r="J536" t="str">
            <v>石板街道</v>
          </cell>
          <cell r="K536" t="str">
            <v>石板社区</v>
          </cell>
          <cell r="L536" t="str">
            <v>四川省达县石板镇街道铜江路29号</v>
          </cell>
          <cell r="M536" t="str">
            <v>四川省达县石板镇街道铜江路29号</v>
          </cell>
          <cell r="N536" t="str">
            <v>邓先胜</v>
          </cell>
          <cell r="O536" t="str">
            <v>配偶</v>
          </cell>
        </row>
        <row r="536">
          <cell r="Q536" t="str">
            <v>3421296</v>
          </cell>
          <cell r="R536" t="str">
            <v>51302119791225044862</v>
          </cell>
          <cell r="S536" t="str">
            <v>精神</v>
          </cell>
          <cell r="T536" t="str">
            <v>二级</v>
          </cell>
          <cell r="U536" t="str">
            <v>精神二级;</v>
          </cell>
        </row>
        <row r="537">
          <cell r="B537" t="str">
            <v>513021196407090442</v>
          </cell>
          <cell r="C537" t="str">
            <v>女</v>
          </cell>
          <cell r="D537" t="str">
            <v>汉族</v>
          </cell>
          <cell r="E537" t="str">
            <v>初中</v>
          </cell>
          <cell r="F537" t="str">
            <v>已婚</v>
          </cell>
          <cell r="G537" t="str">
            <v>非农业</v>
          </cell>
        </row>
        <row r="537">
          <cell r="I537" t="str">
            <v>15181819473</v>
          </cell>
          <cell r="J537" t="str">
            <v>石板街道</v>
          </cell>
          <cell r="K537" t="str">
            <v>石板社区</v>
          </cell>
          <cell r="L537" t="str">
            <v>四川省达州市达川区石板街道石板社区政府街600号</v>
          </cell>
          <cell r="M537" t="str">
            <v>四川省达州市达川区石板街道石板社区政府街600号</v>
          </cell>
          <cell r="N537" t="str">
            <v>李军世</v>
          </cell>
          <cell r="O537" t="str">
            <v>女</v>
          </cell>
        </row>
        <row r="537">
          <cell r="Q537" t="str">
            <v>18780892295</v>
          </cell>
          <cell r="R537" t="str">
            <v>51302119640709044262</v>
          </cell>
          <cell r="S537" t="str">
            <v>精神</v>
          </cell>
          <cell r="T537" t="str">
            <v>二级</v>
          </cell>
          <cell r="U537" t="str">
            <v>精神二级;</v>
          </cell>
        </row>
        <row r="538">
          <cell r="B538" t="str">
            <v>513021193308200470</v>
          </cell>
          <cell r="C538" t="str">
            <v>男</v>
          </cell>
          <cell r="D538" t="str">
            <v>汉族</v>
          </cell>
          <cell r="E538" t="str">
            <v>高中</v>
          </cell>
          <cell r="F538" t="str">
            <v>已婚</v>
          </cell>
          <cell r="G538" t="str">
            <v>农业</v>
          </cell>
        </row>
        <row r="538">
          <cell r="I538" t="str">
            <v>13778388326</v>
          </cell>
          <cell r="J538" t="str">
            <v>石板街道</v>
          </cell>
          <cell r="K538" t="str">
            <v>石板社区</v>
          </cell>
          <cell r="L538" t="str">
            <v>四川省达州市达川区石板镇铜江路３３号</v>
          </cell>
          <cell r="M538" t="str">
            <v>四川省达县石板镇铜江路３３号</v>
          </cell>
        </row>
        <row r="538">
          <cell r="R538" t="str">
            <v>51302119330820047043</v>
          </cell>
          <cell r="S538" t="str">
            <v>肢体</v>
          </cell>
          <cell r="T538" t="str">
            <v>三级</v>
          </cell>
          <cell r="U538" t="str">
            <v>肢体三级;</v>
          </cell>
        </row>
        <row r="539">
          <cell r="B539" t="str">
            <v>513021196901190203</v>
          </cell>
          <cell r="C539" t="str">
            <v>女</v>
          </cell>
          <cell r="D539" t="str">
            <v>汉族</v>
          </cell>
          <cell r="E539" t="str">
            <v>文盲</v>
          </cell>
          <cell r="F539" t="str">
            <v>已婚</v>
          </cell>
          <cell r="G539" t="str">
            <v>非农业</v>
          </cell>
        </row>
        <row r="539">
          <cell r="I539" t="str">
            <v>13548287901</v>
          </cell>
          <cell r="J539" t="str">
            <v>石板街道</v>
          </cell>
          <cell r="K539" t="str">
            <v>石板社区</v>
          </cell>
          <cell r="L539" t="str">
            <v>四川省达州市达川区石板镇金刚街２号</v>
          </cell>
          <cell r="M539" t="str">
            <v>四川省达州市达川区石板镇金刚街２号</v>
          </cell>
          <cell r="N539" t="str">
            <v>胡温义</v>
          </cell>
          <cell r="O539" t="str">
            <v>配偶</v>
          </cell>
        </row>
        <row r="539">
          <cell r="Q539" t="str">
            <v>13548287901</v>
          </cell>
          <cell r="R539" t="str">
            <v>51302119690119020352</v>
          </cell>
          <cell r="S539" t="str">
            <v>智力</v>
          </cell>
          <cell r="T539" t="str">
            <v>二级</v>
          </cell>
          <cell r="U539" t="str">
            <v>智力二级;</v>
          </cell>
        </row>
        <row r="540">
          <cell r="B540" t="str">
            <v>513021196802060454</v>
          </cell>
          <cell r="C540" t="str">
            <v>男</v>
          </cell>
          <cell r="D540" t="str">
            <v>汉族</v>
          </cell>
          <cell r="E540" t="str">
            <v>初中</v>
          </cell>
          <cell r="F540" t="str">
            <v>已婚</v>
          </cell>
          <cell r="G540" t="str">
            <v>非农业</v>
          </cell>
        </row>
        <row r="540">
          <cell r="I540" t="str">
            <v>17323319474</v>
          </cell>
          <cell r="J540" t="str">
            <v>石板街道</v>
          </cell>
          <cell r="K540" t="str">
            <v>石板社区</v>
          </cell>
          <cell r="L540" t="str">
            <v>四川省达州市达川区石板街道石板社区政府街600号</v>
          </cell>
          <cell r="M540" t="str">
            <v>四川省达州市达川区石板街道石板社区政府街600号</v>
          </cell>
        </row>
        <row r="540">
          <cell r="R540" t="str">
            <v>51302119680206045422</v>
          </cell>
          <cell r="S540" t="str">
            <v>听力</v>
          </cell>
          <cell r="T540" t="str">
            <v>二级</v>
          </cell>
          <cell r="U540" t="str">
            <v>听力二级;</v>
          </cell>
        </row>
        <row r="541">
          <cell r="B541" t="str">
            <v>51302119530310020X</v>
          </cell>
          <cell r="C541" t="str">
            <v>女</v>
          </cell>
          <cell r="D541" t="str">
            <v>汉族</v>
          </cell>
          <cell r="E541" t="str">
            <v>小学</v>
          </cell>
          <cell r="F541" t="str">
            <v>已婚</v>
          </cell>
          <cell r="G541" t="str">
            <v>非农业</v>
          </cell>
        </row>
        <row r="541">
          <cell r="I541" t="str">
            <v>18282283969</v>
          </cell>
          <cell r="J541" t="str">
            <v>石板街道</v>
          </cell>
          <cell r="K541" t="str">
            <v>石板社区</v>
          </cell>
          <cell r="L541" t="str">
            <v>四川省达州市达川区石板镇金刚街１号１６栋４单元８号</v>
          </cell>
          <cell r="M541" t="str">
            <v>四川省达县石板镇金刚街１号１６栋４单元８号</v>
          </cell>
        </row>
        <row r="541">
          <cell r="R541" t="str">
            <v>51302119530310020X23</v>
          </cell>
          <cell r="S541" t="str">
            <v>听力</v>
          </cell>
          <cell r="T541" t="str">
            <v>三级</v>
          </cell>
          <cell r="U541" t="str">
            <v>听力三级;</v>
          </cell>
        </row>
        <row r="542">
          <cell r="B542" t="str">
            <v>513021194706090195</v>
          </cell>
          <cell r="C542" t="str">
            <v>男</v>
          </cell>
          <cell r="D542" t="str">
            <v>汉族</v>
          </cell>
          <cell r="E542" t="str">
            <v>小学</v>
          </cell>
          <cell r="F542" t="str">
            <v>已婚</v>
          </cell>
          <cell r="G542" t="str">
            <v>非农业</v>
          </cell>
        </row>
        <row r="542">
          <cell r="I542" t="str">
            <v>15775675686</v>
          </cell>
          <cell r="J542" t="str">
            <v>石板街道</v>
          </cell>
          <cell r="K542" t="str">
            <v>石板社区</v>
          </cell>
          <cell r="L542" t="str">
            <v>四川省达州市达川区石板镇金刚街１号１８栋３楼６号</v>
          </cell>
          <cell r="M542" t="str">
            <v>四川省达州市达川区石板镇金刚街１号１８栋３楼６号</v>
          </cell>
          <cell r="N542" t="str">
            <v>杨纯建</v>
          </cell>
          <cell r="O542" t="str">
            <v>子</v>
          </cell>
        </row>
        <row r="542">
          <cell r="Q542" t="str">
            <v>13982893991</v>
          </cell>
          <cell r="R542" t="str">
            <v>51302119470609019542</v>
          </cell>
          <cell r="S542" t="str">
            <v>肢体</v>
          </cell>
          <cell r="T542" t="str">
            <v>二级</v>
          </cell>
          <cell r="U542" t="str">
            <v>肢体二级;</v>
          </cell>
        </row>
        <row r="543">
          <cell r="B543" t="str">
            <v>513021196503030474</v>
          </cell>
          <cell r="C543" t="str">
            <v>男</v>
          </cell>
          <cell r="D543" t="str">
            <v>汉族</v>
          </cell>
          <cell r="E543" t="str">
            <v>初中</v>
          </cell>
          <cell r="F543" t="str">
            <v>已婚</v>
          </cell>
          <cell r="G543" t="str">
            <v>非农业</v>
          </cell>
        </row>
        <row r="543">
          <cell r="I543" t="str">
            <v>15883734168</v>
          </cell>
          <cell r="J543" t="str">
            <v>石板街道</v>
          </cell>
          <cell r="K543" t="str">
            <v>石板社区</v>
          </cell>
          <cell r="L543" t="str">
            <v>四川省达州市达川区石板镇铜江路36号</v>
          </cell>
          <cell r="M543" t="str">
            <v>四川省达县石板镇铜江路36号</v>
          </cell>
        </row>
        <row r="543">
          <cell r="R543" t="str">
            <v>51302119650303047412</v>
          </cell>
          <cell r="S543" t="str">
            <v>视力</v>
          </cell>
          <cell r="T543" t="str">
            <v>二级</v>
          </cell>
          <cell r="U543" t="str">
            <v>视力二级;</v>
          </cell>
        </row>
        <row r="544">
          <cell r="B544" t="str">
            <v>513021197706200191</v>
          </cell>
          <cell r="C544" t="str">
            <v>男</v>
          </cell>
          <cell r="D544" t="str">
            <v>汉族</v>
          </cell>
          <cell r="E544" t="str">
            <v>中专</v>
          </cell>
          <cell r="F544" t="str">
            <v>未婚</v>
          </cell>
          <cell r="G544" t="str">
            <v>非农业</v>
          </cell>
        </row>
        <row r="544">
          <cell r="I544" t="str">
            <v>15881615698</v>
          </cell>
          <cell r="J544" t="str">
            <v>石板街道</v>
          </cell>
          <cell r="K544" t="str">
            <v>石板社区</v>
          </cell>
          <cell r="L544" t="str">
            <v>四川省达州市达川区石板镇金刚街１号１１幢４楼６号</v>
          </cell>
          <cell r="M544" t="str">
            <v>四川省达县石板镇金刚街１号１１幢４楼６号</v>
          </cell>
        </row>
        <row r="544">
          <cell r="R544" t="str">
            <v>51302119770620019114</v>
          </cell>
          <cell r="S544" t="str">
            <v>视力</v>
          </cell>
          <cell r="T544" t="str">
            <v>四级</v>
          </cell>
          <cell r="U544" t="str">
            <v>视力四级;</v>
          </cell>
        </row>
        <row r="545">
          <cell r="B545" t="str">
            <v>510226196911153457</v>
          </cell>
          <cell r="C545" t="str">
            <v>男</v>
          </cell>
          <cell r="D545" t="str">
            <v>汉族</v>
          </cell>
          <cell r="E545" t="str">
            <v>初中</v>
          </cell>
          <cell r="F545" t="str">
            <v>已婚</v>
          </cell>
          <cell r="G545" t="str">
            <v>非农业</v>
          </cell>
        </row>
        <row r="545">
          <cell r="I545" t="str">
            <v>000000</v>
          </cell>
          <cell r="J545" t="str">
            <v>石板街道</v>
          </cell>
          <cell r="K545" t="str">
            <v>石板社区</v>
          </cell>
          <cell r="L545" t="str">
            <v>四川省达县石板镇金刚街１号３０栋１单元７号</v>
          </cell>
          <cell r="M545" t="str">
            <v>四川省达县石板镇金刚街１号３０栋１单元７号</v>
          </cell>
        </row>
        <row r="545">
          <cell r="R545" t="str">
            <v>51022619691115345713</v>
          </cell>
          <cell r="S545" t="str">
            <v>视力</v>
          </cell>
          <cell r="T545" t="str">
            <v>三级</v>
          </cell>
          <cell r="U545" t="str">
            <v>视力三级;</v>
          </cell>
        </row>
        <row r="546">
          <cell r="B546" t="str">
            <v>513021194409290190</v>
          </cell>
          <cell r="C546" t="str">
            <v>男</v>
          </cell>
          <cell r="D546" t="str">
            <v>汉族</v>
          </cell>
          <cell r="E546" t="str">
            <v>小学</v>
          </cell>
          <cell r="F546" t="str">
            <v>已婚</v>
          </cell>
          <cell r="G546" t="str">
            <v>非农业</v>
          </cell>
        </row>
        <row r="546">
          <cell r="I546" t="str">
            <v>000000000000</v>
          </cell>
          <cell r="J546" t="str">
            <v>石板街道</v>
          </cell>
          <cell r="K546" t="str">
            <v>石板社区</v>
          </cell>
          <cell r="L546" t="str">
            <v>四川省达州市达川区石板镇金刚街２号８栋４单元１号</v>
          </cell>
          <cell r="M546" t="str">
            <v>四川省达州市达川区石板镇金刚街２号８栋４单元１号</v>
          </cell>
          <cell r="N546" t="str">
            <v>王玉琴</v>
          </cell>
          <cell r="O546" t="str">
            <v>配偶</v>
          </cell>
        </row>
        <row r="546">
          <cell r="R546" t="str">
            <v>51302119440929019011</v>
          </cell>
          <cell r="S546" t="str">
            <v>视力</v>
          </cell>
          <cell r="T546" t="str">
            <v>一级</v>
          </cell>
          <cell r="U546" t="str">
            <v>视力一级;</v>
          </cell>
        </row>
        <row r="547">
          <cell r="B547" t="str">
            <v>513021195011250193</v>
          </cell>
          <cell r="C547" t="str">
            <v>男</v>
          </cell>
          <cell r="D547" t="str">
            <v>汉族</v>
          </cell>
          <cell r="E547" t="str">
            <v>小学</v>
          </cell>
          <cell r="F547" t="str">
            <v>已婚</v>
          </cell>
          <cell r="G547" t="str">
            <v>非农业</v>
          </cell>
        </row>
        <row r="547">
          <cell r="I547" t="str">
            <v>15583753182</v>
          </cell>
          <cell r="J547" t="str">
            <v>石板街道</v>
          </cell>
          <cell r="K547" t="str">
            <v>石板社区</v>
          </cell>
          <cell r="L547" t="str">
            <v>四川省达州市达川区石板镇金刚街１号１８栋４单元３号</v>
          </cell>
          <cell r="M547" t="str">
            <v>四川省达县石板镇金刚街１号１８栋４单元３号</v>
          </cell>
        </row>
        <row r="547">
          <cell r="R547" t="str">
            <v>51302119501125019344</v>
          </cell>
          <cell r="S547" t="str">
            <v>肢体</v>
          </cell>
          <cell r="T547" t="str">
            <v>四级</v>
          </cell>
          <cell r="U547" t="str">
            <v>肢体四级;</v>
          </cell>
        </row>
        <row r="548">
          <cell r="B548" t="str">
            <v>513021196606260192</v>
          </cell>
          <cell r="C548" t="str">
            <v>男</v>
          </cell>
          <cell r="D548" t="str">
            <v>汉族</v>
          </cell>
          <cell r="E548" t="str">
            <v>小学</v>
          </cell>
          <cell r="F548" t="str">
            <v>已婚</v>
          </cell>
          <cell r="G548" t="str">
            <v>非农业</v>
          </cell>
        </row>
        <row r="548">
          <cell r="I548" t="str">
            <v>15983897077</v>
          </cell>
          <cell r="J548" t="str">
            <v>石板街道</v>
          </cell>
          <cell r="K548" t="str">
            <v>石板社区</v>
          </cell>
          <cell r="L548" t="str">
            <v>四川省达州市达川区石板镇金刚街2号</v>
          </cell>
          <cell r="M548" t="str">
            <v>四川省达州市达川区石板镇金刚街2号</v>
          </cell>
        </row>
        <row r="548">
          <cell r="R548" t="str">
            <v>51302119660626019243</v>
          </cell>
          <cell r="S548" t="str">
            <v>肢体</v>
          </cell>
          <cell r="T548" t="str">
            <v>三级</v>
          </cell>
          <cell r="U548" t="str">
            <v>肢体三级;</v>
          </cell>
        </row>
        <row r="549">
          <cell r="B549" t="str">
            <v>513021197004020196</v>
          </cell>
          <cell r="C549" t="str">
            <v>男</v>
          </cell>
          <cell r="D549" t="str">
            <v>汉族</v>
          </cell>
          <cell r="E549" t="str">
            <v>初中</v>
          </cell>
          <cell r="F549" t="str">
            <v>已婚</v>
          </cell>
          <cell r="G549" t="str">
            <v>非农业</v>
          </cell>
        </row>
        <row r="549">
          <cell r="I549" t="str">
            <v>15923042828</v>
          </cell>
          <cell r="J549" t="str">
            <v>石板街道</v>
          </cell>
          <cell r="K549" t="str">
            <v>石板社区</v>
          </cell>
          <cell r="L549" t="str">
            <v>四川省达州市达川区石板镇达竹矿务局金刚煤矿</v>
          </cell>
          <cell r="M549" t="str">
            <v>四川省达州市达川区石板镇达竹矿务局金刚煤矿</v>
          </cell>
          <cell r="N549" t="str">
            <v>周兴菊</v>
          </cell>
          <cell r="O549" t="str">
            <v>配偶</v>
          </cell>
        </row>
        <row r="549">
          <cell r="R549" t="str">
            <v>51302119700402019644</v>
          </cell>
          <cell r="S549" t="str">
            <v>肢体</v>
          </cell>
          <cell r="T549" t="str">
            <v>四级</v>
          </cell>
          <cell r="U549" t="str">
            <v>肢体四级;</v>
          </cell>
        </row>
        <row r="550">
          <cell r="B550" t="str">
            <v>513021197501290226</v>
          </cell>
          <cell r="C550" t="str">
            <v>女</v>
          </cell>
          <cell r="D550" t="str">
            <v>汉族</v>
          </cell>
          <cell r="E550" t="str">
            <v>本科</v>
          </cell>
          <cell r="F550" t="str">
            <v>已婚</v>
          </cell>
          <cell r="G550" t="str">
            <v>非农业</v>
          </cell>
        </row>
        <row r="550">
          <cell r="I550" t="str">
            <v>13551924450</v>
          </cell>
          <cell r="J550" t="str">
            <v>石板街道</v>
          </cell>
          <cell r="K550" t="str">
            <v>石板社区</v>
          </cell>
          <cell r="L550" t="str">
            <v>四川省达州市达川区石板镇中山路３号１单元６号</v>
          </cell>
          <cell r="M550" t="str">
            <v>四川省达县石板镇中山路３号１单元６号</v>
          </cell>
        </row>
        <row r="550">
          <cell r="R550" t="str">
            <v>51302119750129022644</v>
          </cell>
          <cell r="S550" t="str">
            <v>肢体</v>
          </cell>
          <cell r="T550" t="str">
            <v>四级</v>
          </cell>
          <cell r="U550" t="str">
            <v>肢体四级;</v>
          </cell>
        </row>
        <row r="551">
          <cell r="B551" t="str">
            <v>513021195203220191</v>
          </cell>
          <cell r="C551" t="str">
            <v>男</v>
          </cell>
          <cell r="D551" t="str">
            <v>汉族</v>
          </cell>
          <cell r="E551" t="str">
            <v>小学</v>
          </cell>
          <cell r="F551" t="str">
            <v>已婚</v>
          </cell>
          <cell r="G551" t="str">
            <v>非农业</v>
          </cell>
        </row>
        <row r="551">
          <cell r="I551" t="str">
            <v>15228079830</v>
          </cell>
          <cell r="J551" t="str">
            <v>石板街道</v>
          </cell>
          <cell r="K551" t="str">
            <v>石板社区</v>
          </cell>
          <cell r="L551" t="str">
            <v>四川省达州市达川区石板镇金刚街１号２４栋４楼１号</v>
          </cell>
          <cell r="M551" t="str">
            <v>四川省达州市达川区石板镇金刚街１号２４栋４楼１号</v>
          </cell>
          <cell r="N551" t="str">
            <v>雷玉珍</v>
          </cell>
          <cell r="O551" t="str">
            <v>配偶</v>
          </cell>
        </row>
        <row r="551">
          <cell r="Q551" t="str">
            <v>13079080550</v>
          </cell>
          <cell r="R551" t="str">
            <v>51302119520322019114</v>
          </cell>
          <cell r="S551" t="str">
            <v>视力</v>
          </cell>
          <cell r="T551" t="str">
            <v>四级</v>
          </cell>
          <cell r="U551" t="str">
            <v>视力四级;</v>
          </cell>
        </row>
        <row r="552">
          <cell r="B552" t="str">
            <v>513021194403160213</v>
          </cell>
          <cell r="C552" t="str">
            <v>男</v>
          </cell>
          <cell r="D552" t="str">
            <v>汉族</v>
          </cell>
          <cell r="E552" t="str">
            <v>小学</v>
          </cell>
          <cell r="F552" t="str">
            <v>已婚</v>
          </cell>
          <cell r="G552" t="str">
            <v>非农业</v>
          </cell>
        </row>
        <row r="552">
          <cell r="I552" t="str">
            <v>0818-2311049</v>
          </cell>
          <cell r="J552" t="str">
            <v>石板街道</v>
          </cell>
          <cell r="K552" t="str">
            <v>石板社区</v>
          </cell>
          <cell r="L552" t="str">
            <v>四川省达县石板镇金刚街２号</v>
          </cell>
          <cell r="M552" t="str">
            <v>四川省达县石板镇金刚街２号</v>
          </cell>
        </row>
        <row r="552">
          <cell r="R552" t="str">
            <v>51302119440316021343</v>
          </cell>
          <cell r="S552" t="str">
            <v>肢体</v>
          </cell>
          <cell r="T552" t="str">
            <v>三级</v>
          </cell>
          <cell r="U552" t="str">
            <v>肢体三级;</v>
          </cell>
        </row>
        <row r="553">
          <cell r="B553" t="str">
            <v>513021194709240443</v>
          </cell>
          <cell r="C553" t="str">
            <v>女</v>
          </cell>
          <cell r="D553" t="str">
            <v>汉族</v>
          </cell>
          <cell r="E553" t="str">
            <v>小学</v>
          </cell>
          <cell r="F553" t="str">
            <v>已婚</v>
          </cell>
          <cell r="G553" t="str">
            <v>非农业</v>
          </cell>
        </row>
        <row r="553">
          <cell r="I553" t="str">
            <v>15228000165</v>
          </cell>
          <cell r="J553" t="str">
            <v>石板街道</v>
          </cell>
          <cell r="K553" t="str">
            <v>石板社区</v>
          </cell>
          <cell r="L553" t="str">
            <v>四川省达州市达川区石板镇石板社区政府街509号</v>
          </cell>
          <cell r="M553" t="str">
            <v>四川省达州市达川区石板镇石板社区政府街509号</v>
          </cell>
        </row>
        <row r="553">
          <cell r="R553" t="str">
            <v>51302119470924044314</v>
          </cell>
          <cell r="S553" t="str">
            <v>视力</v>
          </cell>
          <cell r="T553" t="str">
            <v>四级</v>
          </cell>
          <cell r="U553" t="str">
            <v>视力四级;</v>
          </cell>
        </row>
        <row r="554">
          <cell r="B554" t="str">
            <v>513021195609060204</v>
          </cell>
          <cell r="C554" t="str">
            <v>女</v>
          </cell>
          <cell r="D554" t="str">
            <v>汉族</v>
          </cell>
          <cell r="E554" t="str">
            <v>初中</v>
          </cell>
          <cell r="F554" t="str">
            <v>已婚</v>
          </cell>
          <cell r="G554" t="str">
            <v>非农业</v>
          </cell>
        </row>
        <row r="554">
          <cell r="I554" t="str">
            <v>13330836936</v>
          </cell>
          <cell r="J554" t="str">
            <v>石板街道</v>
          </cell>
          <cell r="K554" t="str">
            <v>石板社区</v>
          </cell>
          <cell r="L554" t="str">
            <v>四川省达州市达川区石板镇金刚街１号４栋５单元７号</v>
          </cell>
          <cell r="M554" t="str">
            <v>四川省达州市达川区石板镇金刚街１号４栋５单元７号</v>
          </cell>
        </row>
        <row r="554">
          <cell r="R554" t="str">
            <v>51302119560906020413</v>
          </cell>
          <cell r="S554" t="str">
            <v>视力</v>
          </cell>
          <cell r="T554" t="str">
            <v>三级</v>
          </cell>
          <cell r="U554" t="str">
            <v>视力三级;</v>
          </cell>
        </row>
        <row r="555">
          <cell r="B555" t="str">
            <v>513021197011032558</v>
          </cell>
          <cell r="C555" t="str">
            <v>男</v>
          </cell>
          <cell r="D555" t="str">
            <v>汉族</v>
          </cell>
          <cell r="E555" t="str">
            <v>小学</v>
          </cell>
          <cell r="F555" t="str">
            <v>已婚</v>
          </cell>
          <cell r="G555" t="str">
            <v>非农业</v>
          </cell>
        </row>
        <row r="555">
          <cell r="I555" t="str">
            <v>18281881673</v>
          </cell>
          <cell r="J555" t="str">
            <v>石板街道</v>
          </cell>
          <cell r="K555" t="str">
            <v>石板社区</v>
          </cell>
          <cell r="L555" t="str">
            <v>四川省达州市达川区石板镇金刚街２号</v>
          </cell>
          <cell r="M555" t="str">
            <v>四川省达州市达川区石板镇金刚街２号</v>
          </cell>
        </row>
        <row r="555">
          <cell r="R555" t="str">
            <v>51302119701103255844</v>
          </cell>
          <cell r="S555" t="str">
            <v>肢体</v>
          </cell>
          <cell r="T555" t="str">
            <v>四级</v>
          </cell>
          <cell r="U555" t="str">
            <v>肢体四级;</v>
          </cell>
        </row>
        <row r="556">
          <cell r="B556" t="str">
            <v>513021193603220191</v>
          </cell>
          <cell r="C556" t="str">
            <v>男</v>
          </cell>
          <cell r="D556" t="str">
            <v>汉族</v>
          </cell>
          <cell r="E556" t="str">
            <v>小学</v>
          </cell>
          <cell r="F556" t="str">
            <v>已婚</v>
          </cell>
          <cell r="G556" t="str">
            <v>非农业</v>
          </cell>
        </row>
        <row r="556">
          <cell r="I556" t="str">
            <v>0818-2311235</v>
          </cell>
          <cell r="J556" t="str">
            <v>石板街道</v>
          </cell>
          <cell r="K556" t="str">
            <v>石板社区</v>
          </cell>
          <cell r="L556" t="str">
            <v>四川省达县石板镇金刚街</v>
          </cell>
          <cell r="M556" t="str">
            <v>四川省达县石板镇金刚街</v>
          </cell>
          <cell r="N556" t="str">
            <v>陈明秀</v>
          </cell>
          <cell r="O556" t="str">
            <v>配偶</v>
          </cell>
        </row>
        <row r="556">
          <cell r="Q556" t="str">
            <v>0818-2311235</v>
          </cell>
          <cell r="R556" t="str">
            <v>51302119360322019144</v>
          </cell>
          <cell r="S556" t="str">
            <v>肢体</v>
          </cell>
          <cell r="T556" t="str">
            <v>四级</v>
          </cell>
          <cell r="U556" t="str">
            <v>肢体四级;</v>
          </cell>
        </row>
        <row r="557">
          <cell r="B557" t="str">
            <v>513021193207260458</v>
          </cell>
          <cell r="C557" t="str">
            <v>男</v>
          </cell>
          <cell r="D557" t="str">
            <v>汉族</v>
          </cell>
          <cell r="E557" t="str">
            <v>小学</v>
          </cell>
          <cell r="F557" t="str">
            <v>已婚</v>
          </cell>
          <cell r="G557" t="str">
            <v>非农业</v>
          </cell>
        </row>
        <row r="557">
          <cell r="I557" t="str">
            <v>13398345890</v>
          </cell>
          <cell r="J557" t="str">
            <v>石板街道</v>
          </cell>
          <cell r="K557" t="str">
            <v>石板社区</v>
          </cell>
          <cell r="L557" t="str">
            <v>四川省达州市达川区石板镇政府街３２号</v>
          </cell>
          <cell r="M557" t="str">
            <v>四川省达县石板镇政府街３２号</v>
          </cell>
        </row>
        <row r="557">
          <cell r="R557" t="str">
            <v>51302119320726045843</v>
          </cell>
          <cell r="S557" t="str">
            <v>肢体</v>
          </cell>
          <cell r="T557" t="str">
            <v>三级</v>
          </cell>
          <cell r="U557" t="str">
            <v>肢体三级;</v>
          </cell>
        </row>
        <row r="558">
          <cell r="B558" t="str">
            <v>51302119680829047X</v>
          </cell>
          <cell r="C558" t="str">
            <v>男</v>
          </cell>
          <cell r="D558" t="str">
            <v>汉族</v>
          </cell>
          <cell r="E558" t="str">
            <v>初中</v>
          </cell>
          <cell r="F558" t="str">
            <v>已婚</v>
          </cell>
          <cell r="G558" t="str">
            <v>非农业</v>
          </cell>
        </row>
        <row r="558">
          <cell r="I558" t="str">
            <v>15181468178</v>
          </cell>
          <cell r="J558" t="str">
            <v>石板街道</v>
          </cell>
          <cell r="K558" t="str">
            <v>石板社区</v>
          </cell>
          <cell r="L558" t="str">
            <v>四川省达州市达川区石板镇铜江路５２３号</v>
          </cell>
          <cell r="M558" t="str">
            <v>四川省达县石板镇铜江路５２３号</v>
          </cell>
        </row>
        <row r="558">
          <cell r="R558" t="str">
            <v>51302119680829047X44</v>
          </cell>
          <cell r="S558" t="str">
            <v>肢体</v>
          </cell>
          <cell r="T558" t="str">
            <v>四级</v>
          </cell>
          <cell r="U558" t="str">
            <v>肢体四级;</v>
          </cell>
        </row>
        <row r="559">
          <cell r="B559" t="str">
            <v>513021198609140443</v>
          </cell>
          <cell r="C559" t="str">
            <v>女</v>
          </cell>
          <cell r="D559" t="str">
            <v>汉族</v>
          </cell>
          <cell r="E559" t="str">
            <v>初中</v>
          </cell>
          <cell r="F559" t="str">
            <v>已婚</v>
          </cell>
          <cell r="G559" t="str">
            <v>非农业</v>
          </cell>
        </row>
        <row r="559">
          <cell r="I559" t="str">
            <v>13350489777</v>
          </cell>
          <cell r="J559" t="str">
            <v>石板街道</v>
          </cell>
          <cell r="K559" t="str">
            <v>石板社区</v>
          </cell>
          <cell r="L559" t="str">
            <v>四川省达州市达川区石板镇铜江路３９９号</v>
          </cell>
          <cell r="M559" t="str">
            <v>四川省达县石板镇铜江路３９９号</v>
          </cell>
        </row>
        <row r="559">
          <cell r="R559" t="str">
            <v>51302119860914044323</v>
          </cell>
          <cell r="S559" t="str">
            <v>听力</v>
          </cell>
          <cell r="T559" t="str">
            <v>三级</v>
          </cell>
          <cell r="U559" t="str">
            <v>听力三级;</v>
          </cell>
        </row>
        <row r="560">
          <cell r="B560" t="str">
            <v>51302119890223019X</v>
          </cell>
          <cell r="C560" t="str">
            <v>男</v>
          </cell>
          <cell r="D560" t="str">
            <v>汉族</v>
          </cell>
          <cell r="E560" t="str">
            <v>小学</v>
          </cell>
          <cell r="F560" t="str">
            <v>未婚</v>
          </cell>
          <cell r="G560" t="str">
            <v>非农业</v>
          </cell>
        </row>
        <row r="560">
          <cell r="I560" t="str">
            <v>13568163390</v>
          </cell>
          <cell r="J560" t="str">
            <v>石板街道</v>
          </cell>
          <cell r="K560" t="str">
            <v>石板社区</v>
          </cell>
          <cell r="L560" t="str">
            <v>四川省达州市达川区石板街道石板社区中山路９号２单元１６号</v>
          </cell>
          <cell r="M560" t="str">
            <v>四川省达州市达川区石板街道石板社区中山路９号２单元１６号</v>
          </cell>
          <cell r="N560" t="str">
            <v>韩国华</v>
          </cell>
          <cell r="O560" t="str">
            <v>父母</v>
          </cell>
        </row>
        <row r="560">
          <cell r="Q560" t="str">
            <v>13568163390</v>
          </cell>
          <cell r="R560" t="str">
            <v>51302119890223019X72</v>
          </cell>
          <cell r="S560" t="str">
            <v>多重</v>
          </cell>
          <cell r="T560" t="str">
            <v>二级</v>
          </cell>
          <cell r="U560" t="str">
            <v>听力二级;言语二级;</v>
          </cell>
        </row>
        <row r="561">
          <cell r="B561" t="str">
            <v>513021195206190442</v>
          </cell>
          <cell r="C561" t="str">
            <v>女</v>
          </cell>
          <cell r="D561" t="str">
            <v>汉族</v>
          </cell>
          <cell r="E561" t="str">
            <v>文盲</v>
          </cell>
          <cell r="F561" t="str">
            <v>已婚</v>
          </cell>
          <cell r="G561" t="str">
            <v>非农业</v>
          </cell>
        </row>
        <row r="561">
          <cell r="I561" t="str">
            <v>13219189053</v>
          </cell>
          <cell r="J561" t="str">
            <v>石板街道</v>
          </cell>
          <cell r="K561" t="str">
            <v>石板社区</v>
          </cell>
          <cell r="L561" t="str">
            <v>四川省达州市达川区石板镇政府街353号</v>
          </cell>
          <cell r="M561" t="str">
            <v>四川省达州市达川区石板镇政府街353号</v>
          </cell>
          <cell r="N561" t="str">
            <v>徐瑛</v>
          </cell>
          <cell r="O561" t="str">
            <v>女</v>
          </cell>
        </row>
        <row r="561">
          <cell r="Q561" t="str">
            <v>13219189053</v>
          </cell>
          <cell r="R561" t="str">
            <v>51302119520619044262</v>
          </cell>
          <cell r="S561" t="str">
            <v>精神</v>
          </cell>
          <cell r="T561" t="str">
            <v>二级</v>
          </cell>
          <cell r="U561" t="str">
            <v>精神二级;</v>
          </cell>
        </row>
        <row r="562">
          <cell r="B562" t="str">
            <v>513021198307230195</v>
          </cell>
          <cell r="C562" t="str">
            <v>男</v>
          </cell>
          <cell r="D562" t="str">
            <v>汉族</v>
          </cell>
          <cell r="E562" t="str">
            <v>初中</v>
          </cell>
          <cell r="F562" t="str">
            <v>已婚</v>
          </cell>
          <cell r="G562" t="str">
            <v>非农业</v>
          </cell>
        </row>
        <row r="562">
          <cell r="I562" t="str">
            <v>13659061786</v>
          </cell>
          <cell r="J562" t="str">
            <v>石板街道</v>
          </cell>
          <cell r="K562" t="str">
            <v>石板社区</v>
          </cell>
          <cell r="L562" t="str">
            <v>四川省达州市达川区石板街道石板社区金刚街1号17栋2单元5号</v>
          </cell>
          <cell r="M562" t="str">
            <v>四川省达州市达川区石板街道石板社区金刚街1号17栋2单元5号</v>
          </cell>
          <cell r="N562" t="str">
            <v>周训民</v>
          </cell>
          <cell r="O562" t="str">
            <v>父母</v>
          </cell>
        </row>
        <row r="562">
          <cell r="Q562" t="str">
            <v>13659061786</v>
          </cell>
          <cell r="R562" t="str">
            <v>51302119830723019544</v>
          </cell>
          <cell r="S562" t="str">
            <v>肢体</v>
          </cell>
          <cell r="T562" t="str">
            <v>四级</v>
          </cell>
          <cell r="U562" t="str">
            <v>肢体四级;</v>
          </cell>
        </row>
        <row r="563">
          <cell r="B563" t="str">
            <v>513021199502230208</v>
          </cell>
          <cell r="C563" t="str">
            <v>女</v>
          </cell>
          <cell r="D563" t="str">
            <v>汉族</v>
          </cell>
          <cell r="E563" t="str">
            <v>小学</v>
          </cell>
          <cell r="F563" t="str">
            <v>未婚</v>
          </cell>
          <cell r="G563" t="str">
            <v>非农业</v>
          </cell>
        </row>
        <row r="563">
          <cell r="I563" t="str">
            <v>13548287901</v>
          </cell>
          <cell r="J563" t="str">
            <v>石板街道</v>
          </cell>
          <cell r="K563" t="str">
            <v>石板社区</v>
          </cell>
          <cell r="L563" t="str">
            <v>四川省达州市达川区石板镇金刚街２号</v>
          </cell>
          <cell r="M563" t="str">
            <v>四川省达州市达川区石板镇金刚街２号</v>
          </cell>
          <cell r="N563" t="str">
            <v>胡温义</v>
          </cell>
          <cell r="O563" t="str">
            <v>父母</v>
          </cell>
        </row>
        <row r="563">
          <cell r="Q563" t="str">
            <v>13548287901</v>
          </cell>
          <cell r="R563" t="str">
            <v>51302119950223020852</v>
          </cell>
          <cell r="S563" t="str">
            <v>智力</v>
          </cell>
          <cell r="T563" t="str">
            <v>二级</v>
          </cell>
          <cell r="U563" t="str">
            <v>智力二级;</v>
          </cell>
        </row>
        <row r="564">
          <cell r="B564" t="str">
            <v>513021195710093131</v>
          </cell>
          <cell r="C564" t="str">
            <v>男</v>
          </cell>
          <cell r="D564" t="str">
            <v>汉族</v>
          </cell>
          <cell r="E564" t="str">
            <v>初中</v>
          </cell>
          <cell r="F564" t="str">
            <v>已婚</v>
          </cell>
          <cell r="G564" t="str">
            <v>非农业</v>
          </cell>
        </row>
        <row r="564">
          <cell r="I564" t="str">
            <v>0818-2311049</v>
          </cell>
          <cell r="J564" t="str">
            <v>石板街道</v>
          </cell>
          <cell r="K564" t="str">
            <v>石板社区</v>
          </cell>
          <cell r="L564" t="str">
            <v>四川省达州市达川区石板镇金刚街２号</v>
          </cell>
          <cell r="M564" t="str">
            <v>四川省达州市达川区石板镇金刚街２号</v>
          </cell>
          <cell r="N564" t="str">
            <v>唐天芬</v>
          </cell>
          <cell r="O564" t="str">
            <v>配偶</v>
          </cell>
        </row>
        <row r="564">
          <cell r="Q564" t="str">
            <v>15814382932</v>
          </cell>
          <cell r="R564" t="str">
            <v>51302119571009313173</v>
          </cell>
          <cell r="S564" t="str">
            <v>多重</v>
          </cell>
          <cell r="T564" t="str">
            <v>三级</v>
          </cell>
          <cell r="U564" t="str">
            <v>肢体四级;精神三级;</v>
          </cell>
        </row>
        <row r="565">
          <cell r="B565" t="str">
            <v>513021199109270449</v>
          </cell>
          <cell r="C565" t="str">
            <v>女</v>
          </cell>
          <cell r="D565" t="str">
            <v>汉族</v>
          </cell>
          <cell r="E565" t="str">
            <v>小学</v>
          </cell>
          <cell r="F565" t="str">
            <v>未婚</v>
          </cell>
          <cell r="G565" t="str">
            <v>非农业</v>
          </cell>
        </row>
        <row r="565">
          <cell r="I565" t="str">
            <v>13712330060</v>
          </cell>
          <cell r="J565" t="str">
            <v>石板街道</v>
          </cell>
          <cell r="K565" t="str">
            <v>石板社区</v>
          </cell>
          <cell r="L565" t="str">
            <v>四川省达州市达川区石板街道石板社区政府街３８５号</v>
          </cell>
          <cell r="M565" t="str">
            <v>四川省达州市达川区石板街道石板社区政府街３８５号</v>
          </cell>
        </row>
        <row r="565">
          <cell r="R565" t="str">
            <v>51302119910927044944</v>
          </cell>
          <cell r="S565" t="str">
            <v>肢体</v>
          </cell>
          <cell r="T565" t="str">
            <v>四级</v>
          </cell>
          <cell r="U565" t="str">
            <v>肢体四级;</v>
          </cell>
        </row>
        <row r="566">
          <cell r="B566" t="str">
            <v>513021197412180199</v>
          </cell>
          <cell r="C566" t="str">
            <v>男</v>
          </cell>
          <cell r="D566" t="str">
            <v>汉族</v>
          </cell>
          <cell r="E566" t="str">
            <v>初中</v>
          </cell>
          <cell r="F566" t="str">
            <v>已婚</v>
          </cell>
          <cell r="G566" t="str">
            <v>非农业</v>
          </cell>
        </row>
        <row r="566">
          <cell r="I566" t="str">
            <v>18710133713</v>
          </cell>
          <cell r="J566" t="str">
            <v>石板街道</v>
          </cell>
          <cell r="K566" t="str">
            <v>石板社区</v>
          </cell>
          <cell r="L566" t="str">
            <v>四川省达州市达川区石板街道石板社区金刚街１号１６栋２单元１３号</v>
          </cell>
          <cell r="M566" t="str">
            <v>四川省达州市达川区石板街道石板社区金刚街１号１６栋２单元１３号</v>
          </cell>
        </row>
        <row r="566">
          <cell r="R566" t="str">
            <v>51302119741218019914</v>
          </cell>
          <cell r="S566" t="str">
            <v>视力</v>
          </cell>
          <cell r="T566" t="str">
            <v>四级</v>
          </cell>
          <cell r="U566" t="str">
            <v>视力四级;</v>
          </cell>
        </row>
        <row r="567">
          <cell r="B567" t="str">
            <v>513021197812060444</v>
          </cell>
          <cell r="C567" t="str">
            <v>女</v>
          </cell>
          <cell r="D567" t="str">
            <v>汉族</v>
          </cell>
          <cell r="E567" t="str">
            <v>中专</v>
          </cell>
          <cell r="F567" t="str">
            <v>已婚</v>
          </cell>
          <cell r="G567" t="str">
            <v>非农业</v>
          </cell>
        </row>
        <row r="567">
          <cell r="I567" t="str">
            <v>0000000</v>
          </cell>
          <cell r="J567" t="str">
            <v>石板街道</v>
          </cell>
          <cell r="K567" t="str">
            <v>石板社区</v>
          </cell>
          <cell r="L567" t="str">
            <v>四川省达州市达川区石板镇政府街26号</v>
          </cell>
          <cell r="M567" t="str">
            <v>四川省达州市达川区石板镇政府街26号</v>
          </cell>
        </row>
        <row r="567">
          <cell r="R567" t="str">
            <v>51302119781206044412</v>
          </cell>
          <cell r="S567" t="str">
            <v>视力</v>
          </cell>
          <cell r="T567" t="str">
            <v>二级</v>
          </cell>
          <cell r="U567" t="str">
            <v>视力二级;</v>
          </cell>
        </row>
        <row r="568">
          <cell r="B568" t="str">
            <v>513021197401150445</v>
          </cell>
          <cell r="C568" t="str">
            <v>女</v>
          </cell>
          <cell r="D568" t="str">
            <v>汉族</v>
          </cell>
          <cell r="E568" t="str">
            <v>小学</v>
          </cell>
          <cell r="F568" t="str">
            <v>已婚</v>
          </cell>
          <cell r="G568" t="str">
            <v>非农业</v>
          </cell>
        </row>
        <row r="568">
          <cell r="I568" t="str">
            <v>18781871836</v>
          </cell>
          <cell r="J568" t="str">
            <v>石板街道</v>
          </cell>
          <cell r="K568" t="str">
            <v>石板社区</v>
          </cell>
          <cell r="L568" t="str">
            <v>四川省达州市达川区石板镇政府街369号附2号</v>
          </cell>
          <cell r="M568" t="str">
            <v>四川省达州市达川区石板镇政府街369号附2号</v>
          </cell>
          <cell r="N568" t="str">
            <v>魏富顺</v>
          </cell>
          <cell r="O568" t="str">
            <v>父母</v>
          </cell>
        </row>
        <row r="568">
          <cell r="Q568" t="str">
            <v>18781871836</v>
          </cell>
          <cell r="R568" t="str">
            <v>51302119740115044563</v>
          </cell>
          <cell r="S568" t="str">
            <v>精神</v>
          </cell>
          <cell r="T568" t="str">
            <v>三级</v>
          </cell>
          <cell r="U568" t="str">
            <v>精神三级;</v>
          </cell>
        </row>
        <row r="569">
          <cell r="B569" t="str">
            <v>513021196606090445</v>
          </cell>
          <cell r="C569" t="str">
            <v>女</v>
          </cell>
          <cell r="D569" t="str">
            <v>汉族</v>
          </cell>
          <cell r="E569" t="str">
            <v>初中</v>
          </cell>
          <cell r="F569" t="str">
            <v>已婚</v>
          </cell>
          <cell r="G569" t="str">
            <v>农业</v>
          </cell>
        </row>
        <row r="569">
          <cell r="I569" t="str">
            <v>15881840243</v>
          </cell>
          <cell r="J569" t="str">
            <v>石板街道</v>
          </cell>
          <cell r="K569" t="str">
            <v>石板社区</v>
          </cell>
          <cell r="L569" t="str">
            <v>四川省达州市达川区石板街道石板社区政府街509号</v>
          </cell>
          <cell r="M569" t="str">
            <v>四川省达州市达川区石板街道石板社区政府街509号</v>
          </cell>
        </row>
        <row r="569">
          <cell r="R569" t="str">
            <v>51302119660609044543B1</v>
          </cell>
          <cell r="S569" t="str">
            <v>肢体</v>
          </cell>
          <cell r="T569" t="str">
            <v>三级</v>
          </cell>
          <cell r="U569" t="str">
            <v>肢体三级;</v>
          </cell>
        </row>
        <row r="570">
          <cell r="B570" t="str">
            <v>513021197810040191</v>
          </cell>
          <cell r="C570" t="str">
            <v>男</v>
          </cell>
          <cell r="D570" t="str">
            <v>汉族</v>
          </cell>
          <cell r="E570" t="str">
            <v>高中</v>
          </cell>
          <cell r="F570" t="str">
            <v>未婚</v>
          </cell>
          <cell r="G570" t="str">
            <v>非农业</v>
          </cell>
        </row>
        <row r="570">
          <cell r="I570" t="str">
            <v>18282241009</v>
          </cell>
          <cell r="J570" t="str">
            <v>石板街道</v>
          </cell>
          <cell r="K570" t="str">
            <v>石板社区</v>
          </cell>
          <cell r="L570" t="str">
            <v>四川省达州市达川区石板镇金刚街1号24栋1楼4号</v>
          </cell>
          <cell r="M570" t="str">
            <v>四川省达州市达川区石板镇金刚街1号24栋1楼4号</v>
          </cell>
          <cell r="N570" t="str">
            <v>唐永秀</v>
          </cell>
          <cell r="O570" t="str">
            <v>父母</v>
          </cell>
        </row>
        <row r="570">
          <cell r="Q570" t="str">
            <v>18282241009</v>
          </cell>
          <cell r="R570" t="str">
            <v>51302119781004019163</v>
          </cell>
          <cell r="S570" t="str">
            <v>精神</v>
          </cell>
          <cell r="T570" t="str">
            <v>三级</v>
          </cell>
          <cell r="U570" t="str">
            <v>精神三级;</v>
          </cell>
        </row>
        <row r="571">
          <cell r="B571" t="str">
            <v>51022619470201016X</v>
          </cell>
          <cell r="C571" t="str">
            <v>女</v>
          </cell>
          <cell r="D571" t="str">
            <v>汉族</v>
          </cell>
          <cell r="E571" t="str">
            <v>小学</v>
          </cell>
          <cell r="F571" t="str">
            <v>丧偶</v>
          </cell>
          <cell r="G571" t="str">
            <v>非农业</v>
          </cell>
        </row>
        <row r="571">
          <cell r="I571" t="str">
            <v>18381810104</v>
          </cell>
          <cell r="J571" t="str">
            <v>石板街道</v>
          </cell>
          <cell r="K571" t="str">
            <v>石板社区</v>
          </cell>
          <cell r="L571" t="str">
            <v>四川省达州市达川区石板镇金刚街１号３５栋１单元４号</v>
          </cell>
          <cell r="M571" t="str">
            <v>四川省达州市达川区石板镇金刚街１号３５栋１单元４号</v>
          </cell>
        </row>
        <row r="571">
          <cell r="R571" t="str">
            <v>51022619470201016X13</v>
          </cell>
          <cell r="S571" t="str">
            <v>视力</v>
          </cell>
          <cell r="T571" t="str">
            <v>三级</v>
          </cell>
          <cell r="U571" t="str">
            <v>视力三级;</v>
          </cell>
        </row>
        <row r="572">
          <cell r="B572" t="str">
            <v>513030193606226819</v>
          </cell>
          <cell r="C572" t="str">
            <v>男</v>
          </cell>
          <cell r="D572" t="str">
            <v>汉族</v>
          </cell>
          <cell r="E572" t="str">
            <v>初中</v>
          </cell>
          <cell r="F572" t="str">
            <v>已婚</v>
          </cell>
          <cell r="G572" t="str">
            <v>非农业</v>
          </cell>
        </row>
        <row r="572">
          <cell r="I572" t="str">
            <v>15181800733</v>
          </cell>
          <cell r="J572" t="str">
            <v>石板街道</v>
          </cell>
          <cell r="K572" t="str">
            <v>石板社区</v>
          </cell>
          <cell r="L572" t="str">
            <v>四川省达州市达川区石板镇金刚街２号</v>
          </cell>
          <cell r="M572" t="str">
            <v>四川省达县石板镇金刚街２号</v>
          </cell>
        </row>
        <row r="572">
          <cell r="R572" t="str">
            <v>51303019360622681931</v>
          </cell>
          <cell r="S572" t="str">
            <v>言语</v>
          </cell>
          <cell r="T572" t="str">
            <v>一级</v>
          </cell>
          <cell r="U572" t="str">
            <v>言语一级;</v>
          </cell>
        </row>
        <row r="573">
          <cell r="B573" t="str">
            <v>513021195805190444</v>
          </cell>
          <cell r="C573" t="str">
            <v>女</v>
          </cell>
          <cell r="D573" t="str">
            <v>汉族</v>
          </cell>
          <cell r="E573" t="str">
            <v>小学</v>
          </cell>
          <cell r="F573" t="str">
            <v>已婚</v>
          </cell>
          <cell r="G573" t="str">
            <v>非农业</v>
          </cell>
        </row>
        <row r="573">
          <cell r="I573" t="str">
            <v>0000000000</v>
          </cell>
          <cell r="J573" t="str">
            <v>石板街道</v>
          </cell>
          <cell r="K573" t="str">
            <v>石板社区</v>
          </cell>
          <cell r="L573" t="str">
            <v>四川省达县石板镇铜江路36号附17号</v>
          </cell>
          <cell r="M573" t="str">
            <v>四川省达州市通川区朝阳东路166号</v>
          </cell>
        </row>
        <row r="573">
          <cell r="R573" t="str">
            <v>51302119580519044424</v>
          </cell>
          <cell r="S573" t="str">
            <v>听力</v>
          </cell>
          <cell r="T573" t="str">
            <v>四级</v>
          </cell>
          <cell r="U573" t="str">
            <v>听力四级;</v>
          </cell>
        </row>
        <row r="574">
          <cell r="B574" t="str">
            <v>513021196205180968</v>
          </cell>
          <cell r="C574" t="str">
            <v>女</v>
          </cell>
          <cell r="D574" t="str">
            <v>汉族</v>
          </cell>
          <cell r="E574" t="str">
            <v>初中</v>
          </cell>
          <cell r="F574" t="str">
            <v>已婚</v>
          </cell>
          <cell r="G574" t="str">
            <v>非农业</v>
          </cell>
        </row>
        <row r="574">
          <cell r="I574" t="str">
            <v>15348254853</v>
          </cell>
          <cell r="J574" t="str">
            <v>石板街道</v>
          </cell>
          <cell r="K574" t="str">
            <v>石板社区</v>
          </cell>
          <cell r="L574" t="str">
            <v>四川省达州市达川区石板镇金刚街２号</v>
          </cell>
          <cell r="M574" t="str">
            <v>四川省达州市达川区石板镇金刚街２号</v>
          </cell>
        </row>
        <row r="574">
          <cell r="R574" t="str">
            <v>51302119620518096812</v>
          </cell>
          <cell r="S574" t="str">
            <v>视力</v>
          </cell>
          <cell r="T574" t="str">
            <v>二级</v>
          </cell>
          <cell r="U574" t="str">
            <v>视力二级;</v>
          </cell>
        </row>
        <row r="575">
          <cell r="B575" t="str">
            <v>511721201108265716</v>
          </cell>
          <cell r="C575" t="str">
            <v>男</v>
          </cell>
          <cell r="D575" t="str">
            <v>汉族</v>
          </cell>
          <cell r="E575" t="str">
            <v>文盲</v>
          </cell>
          <cell r="F575" t="str">
            <v>已婚</v>
          </cell>
          <cell r="G575" t="str">
            <v>非农业</v>
          </cell>
        </row>
        <row r="575">
          <cell r="I575" t="str">
            <v>13079050402</v>
          </cell>
          <cell r="J575" t="str">
            <v>石板街道</v>
          </cell>
          <cell r="K575" t="str">
            <v>石板社区</v>
          </cell>
          <cell r="L575" t="str">
            <v>四川省达州市达川区石板镇铜江路１３６号</v>
          </cell>
          <cell r="M575" t="str">
            <v>四川省达县石板镇铜江路１３６号</v>
          </cell>
          <cell r="N575" t="str">
            <v>蒲小娟</v>
          </cell>
          <cell r="O575" t="str">
            <v>父母</v>
          </cell>
        </row>
        <row r="575">
          <cell r="Q575" t="str">
            <v>13079050402</v>
          </cell>
          <cell r="R575" t="str">
            <v>51172120110826571652</v>
          </cell>
          <cell r="S575" t="str">
            <v>智力</v>
          </cell>
          <cell r="T575" t="str">
            <v>二级</v>
          </cell>
          <cell r="U575" t="str">
            <v>智力二级;</v>
          </cell>
        </row>
        <row r="576">
          <cell r="B576" t="str">
            <v>511721201112095721</v>
          </cell>
          <cell r="C576" t="str">
            <v>女</v>
          </cell>
          <cell r="D576" t="str">
            <v>汉族</v>
          </cell>
          <cell r="E576" t="str">
            <v>文盲</v>
          </cell>
          <cell r="F576" t="str">
            <v>已婚</v>
          </cell>
          <cell r="G576" t="str">
            <v>非农业</v>
          </cell>
        </row>
        <row r="576">
          <cell r="I576" t="str">
            <v>13698104387</v>
          </cell>
          <cell r="J576" t="str">
            <v>石板街道</v>
          </cell>
          <cell r="K576" t="str">
            <v>石板社区</v>
          </cell>
          <cell r="L576" t="str">
            <v>四川省达州市达川区石板镇金刚街1号24栋2楼3号</v>
          </cell>
          <cell r="M576" t="str">
            <v>四川省达州市达川区石板镇金刚街1号24栋2楼3号</v>
          </cell>
          <cell r="N576" t="str">
            <v>赵玲</v>
          </cell>
          <cell r="O576" t="str">
            <v>父母</v>
          </cell>
        </row>
        <row r="576">
          <cell r="Q576" t="str">
            <v>13698104387</v>
          </cell>
          <cell r="R576" t="str">
            <v>51172120111209572153</v>
          </cell>
          <cell r="S576" t="str">
            <v>智力</v>
          </cell>
          <cell r="T576" t="str">
            <v>三级</v>
          </cell>
          <cell r="U576" t="str">
            <v>智力三级;</v>
          </cell>
        </row>
        <row r="577">
          <cell r="B577" t="str">
            <v>513021199202012890</v>
          </cell>
          <cell r="C577" t="str">
            <v>男</v>
          </cell>
          <cell r="D577" t="str">
            <v>汉族</v>
          </cell>
          <cell r="E577" t="str">
            <v>小学</v>
          </cell>
          <cell r="F577" t="str">
            <v>未婚</v>
          </cell>
          <cell r="G577" t="str">
            <v>非农业</v>
          </cell>
        </row>
        <row r="577">
          <cell r="I577" t="str">
            <v>13438418839</v>
          </cell>
          <cell r="J577" t="str">
            <v>石板街道</v>
          </cell>
          <cell r="K577" t="str">
            <v>石板社区</v>
          </cell>
          <cell r="L577" t="str">
            <v>四川省达县石板镇金刚街１号２３栋２号</v>
          </cell>
          <cell r="M577" t="str">
            <v>四川省达县石板镇金刚街１号２３栋２号</v>
          </cell>
          <cell r="N577" t="str">
            <v>黄德林</v>
          </cell>
          <cell r="O577" t="str">
            <v>父母</v>
          </cell>
        </row>
        <row r="577">
          <cell r="Q577" t="str">
            <v>13438418839</v>
          </cell>
          <cell r="R577" t="str">
            <v>51302119920201289061</v>
          </cell>
          <cell r="S577" t="str">
            <v>精神</v>
          </cell>
          <cell r="T577" t="str">
            <v>一级</v>
          </cell>
          <cell r="U577" t="str">
            <v>精神一级;</v>
          </cell>
        </row>
        <row r="578">
          <cell r="B578" t="str">
            <v>513021196301010467</v>
          </cell>
          <cell r="C578" t="str">
            <v>女</v>
          </cell>
          <cell r="D578" t="str">
            <v>汉族</v>
          </cell>
          <cell r="E578" t="str">
            <v>高中</v>
          </cell>
          <cell r="F578" t="str">
            <v>已婚</v>
          </cell>
          <cell r="G578" t="str">
            <v>非农业</v>
          </cell>
        </row>
        <row r="578">
          <cell r="I578" t="str">
            <v>15692817059</v>
          </cell>
          <cell r="J578" t="str">
            <v>石板街道</v>
          </cell>
          <cell r="K578" t="str">
            <v>石板社区</v>
          </cell>
          <cell r="L578" t="str">
            <v>四川省达州市达川区石板街道石板社区铜江路１８７号</v>
          </cell>
          <cell r="M578" t="str">
            <v>四川省达州市达川区石板街道石板社区铜江路１８７号</v>
          </cell>
        </row>
        <row r="578">
          <cell r="R578" t="str">
            <v>51302119630101046744</v>
          </cell>
          <cell r="S578" t="str">
            <v>肢体</v>
          </cell>
          <cell r="T578" t="str">
            <v>四级</v>
          </cell>
          <cell r="U578" t="str">
            <v>肢体四级;</v>
          </cell>
        </row>
        <row r="579">
          <cell r="B579" t="str">
            <v>513021195407070455</v>
          </cell>
          <cell r="C579" t="str">
            <v>男</v>
          </cell>
          <cell r="D579" t="str">
            <v>汉族</v>
          </cell>
          <cell r="E579" t="str">
            <v>小学</v>
          </cell>
          <cell r="F579" t="str">
            <v>已婚</v>
          </cell>
          <cell r="G579" t="str">
            <v>非农业</v>
          </cell>
        </row>
        <row r="579">
          <cell r="I579" t="str">
            <v>13419075326</v>
          </cell>
          <cell r="J579" t="str">
            <v>石板街道</v>
          </cell>
          <cell r="K579" t="str">
            <v>石板社区</v>
          </cell>
          <cell r="L579" t="str">
            <v>四川省达州市达川区石板街道石板社区政府街600号</v>
          </cell>
          <cell r="M579" t="str">
            <v>四川省达州市达川区石板街道石板社区政府街600号</v>
          </cell>
        </row>
        <row r="579">
          <cell r="R579" t="str">
            <v>51302119540707045544B1</v>
          </cell>
          <cell r="S579" t="str">
            <v>肢体</v>
          </cell>
          <cell r="T579" t="str">
            <v>四级</v>
          </cell>
          <cell r="U579" t="str">
            <v>肢体四级;</v>
          </cell>
        </row>
        <row r="580">
          <cell r="B580" t="str">
            <v>513021199508127789</v>
          </cell>
          <cell r="C580" t="str">
            <v>女</v>
          </cell>
          <cell r="D580" t="str">
            <v>汉族</v>
          </cell>
          <cell r="E580" t="str">
            <v>小学</v>
          </cell>
          <cell r="F580" t="str">
            <v>未婚</v>
          </cell>
          <cell r="G580" t="str">
            <v>农业</v>
          </cell>
        </row>
        <row r="580">
          <cell r="I580" t="str">
            <v>15881800322</v>
          </cell>
          <cell r="J580" t="str">
            <v>石板街道</v>
          </cell>
          <cell r="K580" t="str">
            <v>石板社区</v>
          </cell>
          <cell r="L580" t="str">
            <v>四川省达州市达川区石板镇金刚街1号6栋3楼4号</v>
          </cell>
          <cell r="M580" t="str">
            <v>四川省达州市达川区石板镇金刚街1号6栋3楼4号</v>
          </cell>
          <cell r="N580" t="str">
            <v>温代英</v>
          </cell>
          <cell r="O580" t="str">
            <v>女</v>
          </cell>
        </row>
        <row r="580">
          <cell r="Q580" t="str">
            <v>15881800322</v>
          </cell>
          <cell r="R580" t="str">
            <v>51302119950812778962</v>
          </cell>
          <cell r="S580" t="str">
            <v>精神</v>
          </cell>
          <cell r="T580" t="str">
            <v>二级</v>
          </cell>
          <cell r="U580" t="str">
            <v>精神二级;</v>
          </cell>
        </row>
        <row r="581">
          <cell r="B581" t="str">
            <v>511721199902105728</v>
          </cell>
          <cell r="C581" t="str">
            <v>女</v>
          </cell>
          <cell r="D581" t="str">
            <v>汉族</v>
          </cell>
          <cell r="E581" t="str">
            <v>小学</v>
          </cell>
          <cell r="F581" t="str">
            <v>未婚</v>
          </cell>
          <cell r="G581" t="str">
            <v>非农业</v>
          </cell>
        </row>
        <row r="581">
          <cell r="I581" t="str">
            <v>15775608874</v>
          </cell>
          <cell r="J581" t="str">
            <v>石板街道</v>
          </cell>
          <cell r="K581" t="str">
            <v>石板社区</v>
          </cell>
          <cell r="L581" t="str">
            <v>四川省达州市达川区石板镇金刚街２号</v>
          </cell>
          <cell r="M581" t="str">
            <v>四川省达州市达川区石板镇金刚街２号</v>
          </cell>
        </row>
        <row r="581">
          <cell r="O581" t="str">
            <v>其他</v>
          </cell>
        </row>
        <row r="581">
          <cell r="R581" t="str">
            <v>51172119990210572813</v>
          </cell>
          <cell r="S581" t="str">
            <v>视力</v>
          </cell>
          <cell r="T581" t="str">
            <v>三级</v>
          </cell>
          <cell r="U581" t="str">
            <v>视力三级;</v>
          </cell>
        </row>
        <row r="582">
          <cell r="B582" t="str">
            <v>513021197401290448</v>
          </cell>
          <cell r="C582" t="str">
            <v>女</v>
          </cell>
          <cell r="D582" t="str">
            <v>汉族</v>
          </cell>
          <cell r="E582" t="str">
            <v>小学</v>
          </cell>
          <cell r="F582" t="str">
            <v>已婚</v>
          </cell>
          <cell r="G582" t="str">
            <v>非农业</v>
          </cell>
        </row>
        <row r="582">
          <cell r="I582" t="str">
            <v>13438571903</v>
          </cell>
          <cell r="J582" t="str">
            <v>石板街道</v>
          </cell>
          <cell r="K582" t="str">
            <v>石板社区</v>
          </cell>
          <cell r="L582" t="str">
            <v>四川省达州市达川区石板街道石板社区铜江路３２２号</v>
          </cell>
          <cell r="M582" t="str">
            <v>四川省达州市达川区石板街道石板社区铜江路３２２号</v>
          </cell>
          <cell r="N582" t="str">
            <v>黎中良</v>
          </cell>
          <cell r="O582" t="str">
            <v>配偶</v>
          </cell>
        </row>
        <row r="582">
          <cell r="Q582" t="str">
            <v>13438571903</v>
          </cell>
          <cell r="R582" t="str">
            <v>51302119740129044852</v>
          </cell>
          <cell r="S582" t="str">
            <v>智力</v>
          </cell>
          <cell r="T582" t="str">
            <v>二级</v>
          </cell>
          <cell r="U582" t="str">
            <v>智力二级;</v>
          </cell>
        </row>
        <row r="583">
          <cell r="B583" t="str">
            <v>511721200311015726</v>
          </cell>
          <cell r="C583" t="str">
            <v>女</v>
          </cell>
          <cell r="D583" t="str">
            <v>汉族</v>
          </cell>
          <cell r="E583" t="str">
            <v>文盲</v>
          </cell>
          <cell r="F583" t="str">
            <v>未婚</v>
          </cell>
          <cell r="G583" t="str">
            <v>非农业</v>
          </cell>
        </row>
        <row r="583">
          <cell r="I583" t="str">
            <v>13438571903</v>
          </cell>
          <cell r="J583" t="str">
            <v>石板街道</v>
          </cell>
          <cell r="K583" t="str">
            <v>石板社区</v>
          </cell>
          <cell r="L583" t="str">
            <v>四川省达州市达川区石板街道石板社区铜江路３２２号</v>
          </cell>
          <cell r="M583" t="str">
            <v>四川省达州市达川区石板街道石板社区铜江路３２２号</v>
          </cell>
          <cell r="N583" t="str">
            <v>黎中良</v>
          </cell>
          <cell r="O583" t="str">
            <v>父母</v>
          </cell>
        </row>
        <row r="583">
          <cell r="Q583" t="str">
            <v>13438571903</v>
          </cell>
          <cell r="R583" t="str">
            <v>51172120031101572653</v>
          </cell>
          <cell r="S583" t="str">
            <v>智力</v>
          </cell>
          <cell r="T583" t="str">
            <v>三级</v>
          </cell>
          <cell r="U583" t="str">
            <v>智力三级;</v>
          </cell>
        </row>
        <row r="584">
          <cell r="B584" t="str">
            <v>513021198005040441</v>
          </cell>
          <cell r="C584" t="str">
            <v>女</v>
          </cell>
          <cell r="D584" t="str">
            <v>汉族</v>
          </cell>
          <cell r="E584" t="str">
            <v>高中</v>
          </cell>
          <cell r="F584" t="str">
            <v>已婚</v>
          </cell>
          <cell r="G584" t="str">
            <v>非农业</v>
          </cell>
        </row>
        <row r="584">
          <cell r="I584" t="str">
            <v>18381952371</v>
          </cell>
          <cell r="J584" t="str">
            <v>石板街道</v>
          </cell>
          <cell r="K584" t="str">
            <v>石板社区</v>
          </cell>
          <cell r="L584" t="str">
            <v>四川省达州市达川区石板镇铜江路４６７号</v>
          </cell>
          <cell r="M584" t="str">
            <v>四川省达县石板镇铜江路４６７号</v>
          </cell>
          <cell r="N584" t="str">
            <v>唐富连</v>
          </cell>
          <cell r="O584" t="str">
            <v>父母</v>
          </cell>
        </row>
        <row r="584">
          <cell r="Q584" t="str">
            <v>18381952371</v>
          </cell>
          <cell r="R584" t="str">
            <v>51302119800504044163</v>
          </cell>
          <cell r="S584" t="str">
            <v>精神</v>
          </cell>
          <cell r="T584" t="str">
            <v>三级</v>
          </cell>
          <cell r="U584" t="str">
            <v>精神三级;</v>
          </cell>
        </row>
        <row r="585">
          <cell r="B585" t="str">
            <v>513021194409180442</v>
          </cell>
          <cell r="C585" t="str">
            <v>女</v>
          </cell>
          <cell r="D585" t="str">
            <v>汉族</v>
          </cell>
          <cell r="E585" t="str">
            <v>小学</v>
          </cell>
          <cell r="F585" t="str">
            <v>已婚</v>
          </cell>
          <cell r="G585" t="str">
            <v>非农业</v>
          </cell>
        </row>
        <row r="585">
          <cell r="I585" t="str">
            <v>13882830382</v>
          </cell>
          <cell r="J585" t="str">
            <v>石板街道</v>
          </cell>
          <cell r="K585" t="str">
            <v>石板社区</v>
          </cell>
          <cell r="L585" t="str">
            <v>四川省达州市达川区石板镇铜江路４６７号</v>
          </cell>
          <cell r="M585" t="str">
            <v>四川省达州市达川区石板镇铜江路４６７号</v>
          </cell>
        </row>
        <row r="585">
          <cell r="R585" t="str">
            <v>51302119440918044222</v>
          </cell>
          <cell r="S585" t="str">
            <v>听力</v>
          </cell>
          <cell r="T585" t="str">
            <v>二级</v>
          </cell>
          <cell r="U585" t="str">
            <v>听力二级;</v>
          </cell>
        </row>
        <row r="586">
          <cell r="B586" t="str">
            <v>513021195412170442</v>
          </cell>
          <cell r="C586" t="str">
            <v>女</v>
          </cell>
          <cell r="D586" t="str">
            <v>汉族</v>
          </cell>
          <cell r="E586" t="str">
            <v>小学</v>
          </cell>
          <cell r="F586" t="str">
            <v>已婚</v>
          </cell>
          <cell r="G586" t="str">
            <v>非农业</v>
          </cell>
        </row>
        <row r="586">
          <cell r="I586" t="str">
            <v>13281735259</v>
          </cell>
          <cell r="J586" t="str">
            <v>石板街道</v>
          </cell>
          <cell r="K586" t="str">
            <v>石板社区</v>
          </cell>
          <cell r="L586" t="str">
            <v>四川省达州市达川区石板街道石板社区政府街600号</v>
          </cell>
          <cell r="M586" t="str">
            <v>四川省达州市达川区石板街道石板社区政府街600号</v>
          </cell>
        </row>
        <row r="586">
          <cell r="R586" t="str">
            <v>51302119541217044243</v>
          </cell>
          <cell r="S586" t="str">
            <v>肢体</v>
          </cell>
          <cell r="T586" t="str">
            <v>三级</v>
          </cell>
          <cell r="U586" t="str">
            <v>肢体三级;</v>
          </cell>
        </row>
        <row r="587">
          <cell r="B587" t="str">
            <v>511721200801225566</v>
          </cell>
          <cell r="C587" t="str">
            <v>女</v>
          </cell>
          <cell r="D587" t="str">
            <v>汉族</v>
          </cell>
          <cell r="E587" t="str">
            <v>文盲</v>
          </cell>
          <cell r="F587" t="str">
            <v>未婚</v>
          </cell>
          <cell r="G587" t="str">
            <v>非农业</v>
          </cell>
        </row>
        <row r="587">
          <cell r="I587" t="str">
            <v>15292803676</v>
          </cell>
          <cell r="J587" t="str">
            <v>石板街道</v>
          </cell>
          <cell r="K587" t="str">
            <v>石板社区</v>
          </cell>
          <cell r="L587" t="str">
            <v>四川省达州市达川区石板镇金刚街2号</v>
          </cell>
          <cell r="M587" t="str">
            <v>四川省达州市达川区石板镇金刚街2号</v>
          </cell>
          <cell r="N587" t="str">
            <v>徐明平</v>
          </cell>
          <cell r="O587" t="str">
            <v>父母</v>
          </cell>
        </row>
        <row r="587">
          <cell r="Q587" t="str">
            <v>15292803676</v>
          </cell>
          <cell r="R587" t="str">
            <v>51172120080122556652</v>
          </cell>
          <cell r="S587" t="str">
            <v>智力</v>
          </cell>
          <cell r="T587" t="str">
            <v>二级</v>
          </cell>
          <cell r="U587" t="str">
            <v>智力二级;</v>
          </cell>
        </row>
        <row r="588">
          <cell r="B588" t="str">
            <v>513021196801270206</v>
          </cell>
          <cell r="C588" t="str">
            <v>女</v>
          </cell>
          <cell r="D588" t="str">
            <v>汉族</v>
          </cell>
          <cell r="E588" t="str">
            <v>初中</v>
          </cell>
          <cell r="F588" t="str">
            <v>已婚</v>
          </cell>
          <cell r="G588" t="str">
            <v>非农业</v>
          </cell>
        </row>
        <row r="588">
          <cell r="I588" t="str">
            <v>15281847894</v>
          </cell>
          <cell r="J588" t="str">
            <v>石板街道</v>
          </cell>
          <cell r="K588" t="str">
            <v>石板社区</v>
          </cell>
          <cell r="L588" t="str">
            <v>四川省达州市达川区石板镇金刚街２号</v>
          </cell>
          <cell r="M588" t="str">
            <v>四川省达县石板镇金刚街２号</v>
          </cell>
        </row>
        <row r="588">
          <cell r="R588" t="str">
            <v>51302119680127020624</v>
          </cell>
          <cell r="S588" t="str">
            <v>听力</v>
          </cell>
          <cell r="T588" t="str">
            <v>四级</v>
          </cell>
          <cell r="U588" t="str">
            <v>听力四级;</v>
          </cell>
        </row>
        <row r="589">
          <cell r="B589" t="str">
            <v>513021197608270612</v>
          </cell>
          <cell r="C589" t="str">
            <v>男</v>
          </cell>
          <cell r="D589" t="str">
            <v>汉族</v>
          </cell>
          <cell r="E589" t="str">
            <v>中专</v>
          </cell>
          <cell r="F589" t="str">
            <v>未婚</v>
          </cell>
          <cell r="G589" t="str">
            <v>非农业</v>
          </cell>
        </row>
        <row r="589">
          <cell r="I589" t="str">
            <v>0000000000</v>
          </cell>
          <cell r="J589" t="str">
            <v>石板街道</v>
          </cell>
          <cell r="K589" t="str">
            <v>石板社区</v>
          </cell>
          <cell r="L589" t="str">
            <v>四川省达州市达川区石板镇铜江路１８号</v>
          </cell>
          <cell r="M589" t="str">
            <v>四川省达州市达川区石板镇铜江路１８号</v>
          </cell>
        </row>
        <row r="589">
          <cell r="R589" t="str">
            <v>51302119760827061224B1</v>
          </cell>
          <cell r="S589" t="str">
            <v>听力</v>
          </cell>
          <cell r="T589" t="str">
            <v>四级</v>
          </cell>
          <cell r="U589" t="str">
            <v>听力四级;</v>
          </cell>
        </row>
        <row r="590">
          <cell r="B590" t="str">
            <v>513021195203150197</v>
          </cell>
          <cell r="C590" t="str">
            <v>男</v>
          </cell>
          <cell r="D590" t="str">
            <v>汉族</v>
          </cell>
          <cell r="E590" t="str">
            <v>初中</v>
          </cell>
          <cell r="F590" t="str">
            <v>已婚</v>
          </cell>
          <cell r="G590" t="str">
            <v>非农业</v>
          </cell>
        </row>
        <row r="590">
          <cell r="I590" t="str">
            <v>13508265499</v>
          </cell>
          <cell r="J590" t="str">
            <v>石板街道</v>
          </cell>
          <cell r="K590" t="str">
            <v>石板社区</v>
          </cell>
          <cell r="L590" t="str">
            <v>四川省达州市达川区石板镇金刚街2号</v>
          </cell>
          <cell r="M590" t="str">
            <v>四川省达州市达川区石板镇金刚街2号</v>
          </cell>
        </row>
        <row r="590">
          <cell r="R590" t="str">
            <v>51302119520315019743</v>
          </cell>
          <cell r="S590" t="str">
            <v>肢体</v>
          </cell>
          <cell r="T590" t="str">
            <v>三级</v>
          </cell>
          <cell r="U590" t="str">
            <v>肢体三级;</v>
          </cell>
        </row>
        <row r="591">
          <cell r="B591" t="str">
            <v>513021194810190233</v>
          </cell>
          <cell r="C591" t="str">
            <v>男</v>
          </cell>
          <cell r="D591" t="str">
            <v>汉族</v>
          </cell>
          <cell r="E591" t="str">
            <v>小学</v>
          </cell>
          <cell r="F591" t="str">
            <v>已婚</v>
          </cell>
          <cell r="G591" t="str">
            <v>非农业</v>
          </cell>
        </row>
        <row r="591">
          <cell r="I591" t="str">
            <v>18784885950</v>
          </cell>
          <cell r="J591" t="str">
            <v>石板街道</v>
          </cell>
          <cell r="K591" t="str">
            <v>石板社区</v>
          </cell>
          <cell r="L591" t="str">
            <v>四川省达州市达川区石板镇金刚街2号</v>
          </cell>
          <cell r="M591" t="str">
            <v>四川省达州市达川区石板镇金刚街2号</v>
          </cell>
        </row>
        <row r="591">
          <cell r="R591" t="str">
            <v>51302119481019023344B1</v>
          </cell>
          <cell r="S591" t="str">
            <v>肢体</v>
          </cell>
          <cell r="T591" t="str">
            <v>四级</v>
          </cell>
          <cell r="U591" t="str">
            <v>肢体四级;</v>
          </cell>
        </row>
        <row r="592">
          <cell r="B592" t="str">
            <v>513021195404290479</v>
          </cell>
          <cell r="C592" t="str">
            <v>男</v>
          </cell>
          <cell r="D592" t="str">
            <v>汉族</v>
          </cell>
          <cell r="E592" t="str">
            <v>小学</v>
          </cell>
          <cell r="F592" t="str">
            <v>丧偶</v>
          </cell>
          <cell r="G592" t="str">
            <v>非农业</v>
          </cell>
        </row>
        <row r="592">
          <cell r="I592" t="str">
            <v>15928252616</v>
          </cell>
          <cell r="J592" t="str">
            <v>石板街道</v>
          </cell>
          <cell r="K592" t="str">
            <v>石板社区</v>
          </cell>
          <cell r="L592" t="str">
            <v>四川省达州市达川区石板镇石板社区铜江路３４号</v>
          </cell>
          <cell r="M592" t="str">
            <v>四川省达州市达川区石板镇石板社区铜江路３４号</v>
          </cell>
        </row>
        <row r="592">
          <cell r="R592" t="str">
            <v>51302119540429047923</v>
          </cell>
          <cell r="S592" t="str">
            <v>听力</v>
          </cell>
          <cell r="T592" t="str">
            <v>三级</v>
          </cell>
          <cell r="U592" t="str">
            <v>听力三级;</v>
          </cell>
        </row>
        <row r="593">
          <cell r="B593" t="str">
            <v>513021195102070462</v>
          </cell>
          <cell r="C593" t="str">
            <v>女</v>
          </cell>
          <cell r="D593" t="str">
            <v>汉族</v>
          </cell>
          <cell r="E593" t="str">
            <v>文盲</v>
          </cell>
          <cell r="F593" t="str">
            <v>已婚</v>
          </cell>
          <cell r="G593" t="str">
            <v>非农业</v>
          </cell>
        </row>
        <row r="593">
          <cell r="I593" t="str">
            <v>13079022856</v>
          </cell>
          <cell r="J593" t="str">
            <v>石板街道</v>
          </cell>
          <cell r="K593" t="str">
            <v>石板社区</v>
          </cell>
          <cell r="L593" t="str">
            <v>四川省达州市达川区石板街道石板社区政府街600号</v>
          </cell>
          <cell r="M593" t="str">
            <v>四川省达州市达川区石板街道石板社区政府街600号</v>
          </cell>
        </row>
        <row r="593">
          <cell r="R593" t="str">
            <v>51302119510207046232</v>
          </cell>
          <cell r="S593" t="str">
            <v>言语</v>
          </cell>
          <cell r="T593" t="str">
            <v>二级</v>
          </cell>
          <cell r="U593" t="str">
            <v>言语二级;</v>
          </cell>
        </row>
        <row r="594">
          <cell r="B594" t="str">
            <v>513021196912040059</v>
          </cell>
          <cell r="C594" t="str">
            <v>男</v>
          </cell>
          <cell r="D594" t="str">
            <v>汉族</v>
          </cell>
          <cell r="E594" t="str">
            <v>初中</v>
          </cell>
          <cell r="F594" t="str">
            <v>已婚</v>
          </cell>
          <cell r="G594" t="str">
            <v>非农业</v>
          </cell>
        </row>
        <row r="594">
          <cell r="I594" t="str">
            <v>13508242767</v>
          </cell>
          <cell r="J594" t="str">
            <v>石板街道</v>
          </cell>
          <cell r="K594" t="str">
            <v>石板社区</v>
          </cell>
          <cell r="L594" t="str">
            <v>四川省达州市达川区石板街道石板社区政府街６００号</v>
          </cell>
          <cell r="M594" t="str">
            <v>四川省达州市达川区石板街道石板社区政府街６００号</v>
          </cell>
        </row>
        <row r="594">
          <cell r="R594" t="str">
            <v>51302119691204005944</v>
          </cell>
          <cell r="S594" t="str">
            <v>肢体</v>
          </cell>
          <cell r="T594" t="str">
            <v>四级</v>
          </cell>
          <cell r="U594" t="str">
            <v>肢体四级;</v>
          </cell>
        </row>
        <row r="595">
          <cell r="B595" t="str">
            <v>513021194811290201</v>
          </cell>
          <cell r="C595" t="str">
            <v>女</v>
          </cell>
          <cell r="D595" t="str">
            <v>汉族</v>
          </cell>
          <cell r="E595" t="str">
            <v>小学</v>
          </cell>
          <cell r="F595" t="str">
            <v>丧偶</v>
          </cell>
          <cell r="G595" t="str">
            <v>非农业</v>
          </cell>
        </row>
        <row r="595">
          <cell r="I595" t="str">
            <v>15228004942</v>
          </cell>
          <cell r="J595" t="str">
            <v>石板街道</v>
          </cell>
          <cell r="K595" t="str">
            <v>石板社区</v>
          </cell>
          <cell r="L595" t="str">
            <v>四川省达州市达川区石板镇金刚街１号７栋单元２号</v>
          </cell>
          <cell r="M595" t="str">
            <v>四川省达州市达川区石板镇金刚街１号７栋单元２号</v>
          </cell>
        </row>
        <row r="595">
          <cell r="R595" t="str">
            <v>51302119481129020143</v>
          </cell>
          <cell r="S595" t="str">
            <v>肢体</v>
          </cell>
          <cell r="T595" t="str">
            <v>三级</v>
          </cell>
          <cell r="U595" t="str">
            <v>肢体三级;</v>
          </cell>
        </row>
        <row r="596">
          <cell r="B596" t="str">
            <v>513021196303210454</v>
          </cell>
          <cell r="C596" t="str">
            <v>男</v>
          </cell>
          <cell r="D596" t="str">
            <v>汉族</v>
          </cell>
          <cell r="E596" t="str">
            <v>高中</v>
          </cell>
          <cell r="F596" t="str">
            <v>已婚</v>
          </cell>
          <cell r="G596" t="str">
            <v>非农业</v>
          </cell>
        </row>
        <row r="596">
          <cell r="I596" t="str">
            <v>15916337941</v>
          </cell>
          <cell r="J596" t="str">
            <v>石板街道</v>
          </cell>
          <cell r="K596" t="str">
            <v>石板社区</v>
          </cell>
          <cell r="L596" t="str">
            <v>四川省达州市达川区石板街道石板社区铜江路４４号</v>
          </cell>
          <cell r="M596" t="str">
            <v>四川省达州市达川区石板街道石板社区铜江路４４号</v>
          </cell>
        </row>
        <row r="596">
          <cell r="R596" t="str">
            <v>51302119630321045444</v>
          </cell>
          <cell r="S596" t="str">
            <v>肢体</v>
          </cell>
          <cell r="T596" t="str">
            <v>四级</v>
          </cell>
          <cell r="U596" t="str">
            <v>肢体四级;</v>
          </cell>
        </row>
        <row r="597">
          <cell r="B597" t="str">
            <v>513021199508190198</v>
          </cell>
          <cell r="C597" t="str">
            <v>男</v>
          </cell>
          <cell r="D597" t="str">
            <v>汉族</v>
          </cell>
          <cell r="E597" t="str">
            <v>小学</v>
          </cell>
          <cell r="F597" t="str">
            <v>未婚</v>
          </cell>
          <cell r="G597" t="str">
            <v>非农业</v>
          </cell>
        </row>
        <row r="597">
          <cell r="I597" t="str">
            <v>13568163382</v>
          </cell>
          <cell r="J597" t="str">
            <v>石板街道</v>
          </cell>
          <cell r="K597" t="str">
            <v>石板社区</v>
          </cell>
          <cell r="L597" t="str">
            <v>四川省达州市达川区石板街道石板社区中山路３号１单元３号</v>
          </cell>
          <cell r="M597" t="str">
            <v>四川省达州市达川区石板街道石板社区中山路３号１单元３号</v>
          </cell>
          <cell r="N597" t="str">
            <v>易本慧</v>
          </cell>
          <cell r="O597" t="str">
            <v>(外)祖父母</v>
          </cell>
        </row>
        <row r="597">
          <cell r="Q597" t="str">
            <v>13568163382</v>
          </cell>
          <cell r="R597" t="str">
            <v>51302119950819019871B3</v>
          </cell>
          <cell r="S597" t="str">
            <v>多重</v>
          </cell>
          <cell r="T597" t="str">
            <v>一级</v>
          </cell>
          <cell r="U597" t="str">
            <v>听力一级;言语一级;</v>
          </cell>
        </row>
        <row r="598">
          <cell r="B598" t="str">
            <v>513021194808290446</v>
          </cell>
          <cell r="C598" t="str">
            <v>女</v>
          </cell>
          <cell r="D598" t="str">
            <v>汉族</v>
          </cell>
          <cell r="E598" t="str">
            <v>小学</v>
          </cell>
          <cell r="F598" t="str">
            <v>已婚</v>
          </cell>
          <cell r="G598" t="str">
            <v>非农业</v>
          </cell>
        </row>
        <row r="598">
          <cell r="I598" t="str">
            <v>18228617963</v>
          </cell>
          <cell r="J598" t="str">
            <v>石板街道</v>
          </cell>
          <cell r="K598" t="str">
            <v>石板社区</v>
          </cell>
          <cell r="L598" t="str">
            <v>四川省达州市达川区石板镇政府街２７１号</v>
          </cell>
          <cell r="M598" t="str">
            <v>四川省达县石板镇政府街２７１号</v>
          </cell>
        </row>
        <row r="598">
          <cell r="R598" t="str">
            <v>51302119480829044644B1</v>
          </cell>
          <cell r="S598" t="str">
            <v>肢体</v>
          </cell>
          <cell r="T598" t="str">
            <v>四级</v>
          </cell>
          <cell r="U598" t="str">
            <v>肢体四级;</v>
          </cell>
        </row>
        <row r="599">
          <cell r="B599" t="str">
            <v>513021197412020443</v>
          </cell>
          <cell r="C599" t="str">
            <v>女</v>
          </cell>
          <cell r="D599" t="str">
            <v>汉族</v>
          </cell>
          <cell r="E599" t="str">
            <v>高中</v>
          </cell>
          <cell r="F599" t="str">
            <v>已婚</v>
          </cell>
          <cell r="G599" t="str">
            <v>非农业</v>
          </cell>
        </row>
        <row r="599">
          <cell r="I599" t="str">
            <v>13568170913</v>
          </cell>
          <cell r="J599" t="str">
            <v>石板街道</v>
          </cell>
          <cell r="K599" t="str">
            <v>石板社区</v>
          </cell>
          <cell r="L599" t="str">
            <v>四川省达州市达川区石板镇政府街600号</v>
          </cell>
          <cell r="M599" t="str">
            <v>四川省达州市达川区石板镇政府街600号</v>
          </cell>
        </row>
        <row r="599">
          <cell r="R599" t="str">
            <v>51302119741202044324</v>
          </cell>
          <cell r="S599" t="str">
            <v>听力</v>
          </cell>
          <cell r="T599" t="str">
            <v>四级</v>
          </cell>
          <cell r="U599" t="str">
            <v>听力四级;</v>
          </cell>
        </row>
        <row r="600">
          <cell r="B600" t="str">
            <v>513021195202140237</v>
          </cell>
          <cell r="C600" t="str">
            <v>男</v>
          </cell>
          <cell r="D600" t="str">
            <v>汉族</v>
          </cell>
          <cell r="E600" t="str">
            <v>初中</v>
          </cell>
          <cell r="F600" t="str">
            <v>已婚</v>
          </cell>
          <cell r="G600" t="str">
            <v>非农业</v>
          </cell>
        </row>
        <row r="600">
          <cell r="I600" t="str">
            <v>13558539658</v>
          </cell>
          <cell r="J600" t="str">
            <v>石板街道</v>
          </cell>
          <cell r="K600" t="str">
            <v>石板社区</v>
          </cell>
          <cell r="L600" t="str">
            <v>四川省达州市达川区石板镇金刚街1号15栋2单元1号</v>
          </cell>
          <cell r="M600" t="str">
            <v>四川省达州市达川区石板镇金刚街1号15栋2单元1号</v>
          </cell>
        </row>
        <row r="600">
          <cell r="R600" t="str">
            <v>51302119520214023712</v>
          </cell>
          <cell r="S600" t="str">
            <v>视力</v>
          </cell>
          <cell r="T600" t="str">
            <v>二级</v>
          </cell>
          <cell r="U600" t="str">
            <v>视力二级;</v>
          </cell>
        </row>
        <row r="601">
          <cell r="B601" t="str">
            <v>513021195011250206</v>
          </cell>
          <cell r="C601" t="str">
            <v>女</v>
          </cell>
          <cell r="D601" t="str">
            <v>汉族</v>
          </cell>
          <cell r="E601" t="str">
            <v>小学</v>
          </cell>
          <cell r="F601" t="str">
            <v>已婚</v>
          </cell>
          <cell r="G601" t="str">
            <v>非农业</v>
          </cell>
        </row>
        <row r="601">
          <cell r="I601" t="str">
            <v>14781834216</v>
          </cell>
          <cell r="J601" t="str">
            <v>石板街道</v>
          </cell>
          <cell r="K601" t="str">
            <v>石板社区</v>
          </cell>
          <cell r="L601" t="str">
            <v>四川省达州市达川区石板镇金刚街１号１５栋２单元１１号</v>
          </cell>
          <cell r="M601" t="str">
            <v>四川省达县石板镇金刚街１号１５栋２单元１１号</v>
          </cell>
        </row>
        <row r="601">
          <cell r="R601" t="str">
            <v>51302119501125020642</v>
          </cell>
          <cell r="S601" t="str">
            <v>肢体</v>
          </cell>
          <cell r="T601" t="str">
            <v>二级</v>
          </cell>
          <cell r="U601" t="str">
            <v>肢体二级;</v>
          </cell>
        </row>
        <row r="602">
          <cell r="B602" t="str">
            <v>513021195410170457</v>
          </cell>
          <cell r="C602" t="str">
            <v>男</v>
          </cell>
          <cell r="D602" t="str">
            <v>汉族</v>
          </cell>
          <cell r="E602" t="str">
            <v>初中</v>
          </cell>
          <cell r="F602" t="str">
            <v>已婚</v>
          </cell>
          <cell r="G602" t="str">
            <v>非农业</v>
          </cell>
        </row>
        <row r="602">
          <cell r="I602" t="str">
            <v>13882855982</v>
          </cell>
          <cell r="J602" t="str">
            <v>石板街道</v>
          </cell>
          <cell r="K602" t="str">
            <v>石板社区</v>
          </cell>
          <cell r="L602" t="str">
            <v>四川省达州市达川区石板街道石板社区铜江路７３７号</v>
          </cell>
          <cell r="M602" t="str">
            <v>四川省达州市达川区石板街道石板社区铜江路７３７号</v>
          </cell>
        </row>
        <row r="602">
          <cell r="R602" t="str">
            <v>51302119541017045744</v>
          </cell>
          <cell r="S602" t="str">
            <v>肢体</v>
          </cell>
          <cell r="T602" t="str">
            <v>四级</v>
          </cell>
          <cell r="U602" t="str">
            <v>肢体四级;</v>
          </cell>
        </row>
        <row r="603">
          <cell r="B603" t="str">
            <v>513030193409216822</v>
          </cell>
          <cell r="C603" t="str">
            <v>女</v>
          </cell>
          <cell r="D603" t="str">
            <v>汉族</v>
          </cell>
          <cell r="E603" t="str">
            <v>小学</v>
          </cell>
          <cell r="F603" t="str">
            <v>已婚</v>
          </cell>
          <cell r="G603" t="str">
            <v>非农业</v>
          </cell>
        </row>
        <row r="603">
          <cell r="I603" t="str">
            <v>15181800733</v>
          </cell>
          <cell r="J603" t="str">
            <v>石板街道</v>
          </cell>
          <cell r="K603" t="str">
            <v>石板社区</v>
          </cell>
          <cell r="L603" t="str">
            <v>四川省达州市达川区石板镇金刚街２号</v>
          </cell>
          <cell r="M603" t="str">
            <v>四川省达县石板镇金刚街２号</v>
          </cell>
        </row>
        <row r="603">
          <cell r="R603" t="str">
            <v>51303019340921682243</v>
          </cell>
          <cell r="S603" t="str">
            <v>肢体</v>
          </cell>
          <cell r="T603" t="str">
            <v>三级</v>
          </cell>
          <cell r="U603" t="str">
            <v>肢体三级;</v>
          </cell>
        </row>
        <row r="604">
          <cell r="B604" t="str">
            <v>51302119680219046X</v>
          </cell>
          <cell r="C604" t="str">
            <v>女</v>
          </cell>
          <cell r="D604" t="str">
            <v>汉族</v>
          </cell>
          <cell r="E604" t="str">
            <v>初中</v>
          </cell>
          <cell r="F604" t="str">
            <v>已婚</v>
          </cell>
          <cell r="G604" t="str">
            <v>非农业</v>
          </cell>
        </row>
        <row r="604">
          <cell r="I604" t="str">
            <v>19983792979</v>
          </cell>
          <cell r="J604" t="str">
            <v>石板街道</v>
          </cell>
          <cell r="K604" t="str">
            <v>石板社区</v>
          </cell>
          <cell r="L604" t="str">
            <v>四川省达州市达川区石板镇街道铜江路</v>
          </cell>
          <cell r="M604" t="str">
            <v>四川省达州市达川区石板镇街道铜江路</v>
          </cell>
        </row>
        <row r="604">
          <cell r="R604" t="str">
            <v>51302119680219046X44</v>
          </cell>
          <cell r="S604" t="str">
            <v>肢体</v>
          </cell>
          <cell r="T604" t="str">
            <v>四级</v>
          </cell>
          <cell r="U604" t="str">
            <v>肢体四级;</v>
          </cell>
        </row>
        <row r="605">
          <cell r="B605" t="str">
            <v>513723196212283691</v>
          </cell>
          <cell r="C605" t="str">
            <v>男</v>
          </cell>
          <cell r="D605" t="str">
            <v>汉族</v>
          </cell>
          <cell r="E605" t="str">
            <v>小学</v>
          </cell>
          <cell r="F605" t="str">
            <v>未婚</v>
          </cell>
          <cell r="G605" t="str">
            <v>非农业</v>
          </cell>
        </row>
        <row r="605">
          <cell r="I605" t="str">
            <v>18398817313</v>
          </cell>
          <cell r="J605" t="str">
            <v>石板街道</v>
          </cell>
          <cell r="K605" t="str">
            <v>石板社区</v>
          </cell>
          <cell r="L605" t="str">
            <v>四川省达州市达川区石板镇金刚街2号</v>
          </cell>
          <cell r="M605" t="str">
            <v>四川省达州市达川区石板镇金刚街2号</v>
          </cell>
          <cell r="N605" t="str">
            <v>张林淑</v>
          </cell>
          <cell r="O605" t="str">
            <v>配偶</v>
          </cell>
        </row>
        <row r="605">
          <cell r="Q605" t="str">
            <v>18398817313</v>
          </cell>
          <cell r="R605" t="str">
            <v>51372319621228369152</v>
          </cell>
          <cell r="S605" t="str">
            <v>智力</v>
          </cell>
          <cell r="T605" t="str">
            <v>二级</v>
          </cell>
          <cell r="U605" t="str">
            <v>智力二级;</v>
          </cell>
        </row>
        <row r="606">
          <cell r="B606" t="str">
            <v>513021199506290443</v>
          </cell>
          <cell r="C606" t="str">
            <v>女</v>
          </cell>
          <cell r="D606" t="str">
            <v>汉族</v>
          </cell>
          <cell r="E606" t="str">
            <v>文盲</v>
          </cell>
          <cell r="F606" t="str">
            <v>未婚</v>
          </cell>
          <cell r="G606" t="str">
            <v>非农业</v>
          </cell>
        </row>
        <row r="606">
          <cell r="I606" t="str">
            <v>13419052638</v>
          </cell>
          <cell r="J606" t="str">
            <v>石板街道</v>
          </cell>
          <cell r="K606" t="str">
            <v>石板社区</v>
          </cell>
          <cell r="L606" t="str">
            <v>四川省达州市达川区石板街道石板社区政府街３５５号</v>
          </cell>
          <cell r="M606" t="str">
            <v>四川省达州市达川区石板街道石板社区政府街３５５号</v>
          </cell>
          <cell r="N606" t="str">
            <v>蒋和荣</v>
          </cell>
          <cell r="O606" t="str">
            <v>父母</v>
          </cell>
        </row>
        <row r="606">
          <cell r="Q606" t="str">
            <v>13419052638</v>
          </cell>
          <cell r="R606" t="str">
            <v>51302119950629044353</v>
          </cell>
          <cell r="S606" t="str">
            <v>智力</v>
          </cell>
          <cell r="T606" t="str">
            <v>三级</v>
          </cell>
          <cell r="U606" t="str">
            <v>智力三级;</v>
          </cell>
        </row>
        <row r="607">
          <cell r="B607" t="str">
            <v>513021197904080442</v>
          </cell>
          <cell r="C607" t="str">
            <v>女</v>
          </cell>
          <cell r="D607" t="str">
            <v>汉族</v>
          </cell>
          <cell r="E607" t="str">
            <v>初中</v>
          </cell>
          <cell r="F607" t="str">
            <v>未婚</v>
          </cell>
          <cell r="G607" t="str">
            <v>非农业</v>
          </cell>
        </row>
        <row r="607">
          <cell r="I607" t="str">
            <v>18481899895</v>
          </cell>
          <cell r="J607" t="str">
            <v>石板街道</v>
          </cell>
          <cell r="K607" t="str">
            <v>石板社区</v>
          </cell>
          <cell r="L607" t="str">
            <v>四川省达州市达川区石板镇政府街285号</v>
          </cell>
          <cell r="M607" t="str">
            <v>四川省达州市达川区石板镇政府街285号</v>
          </cell>
          <cell r="N607" t="str">
            <v>胡伟</v>
          </cell>
          <cell r="O607" t="str">
            <v>配偶</v>
          </cell>
        </row>
        <row r="607">
          <cell r="Q607" t="str">
            <v>18481899895</v>
          </cell>
          <cell r="R607" t="str">
            <v>51302119790408044263</v>
          </cell>
          <cell r="S607" t="str">
            <v>精神</v>
          </cell>
          <cell r="T607" t="str">
            <v>三级</v>
          </cell>
          <cell r="U607" t="str">
            <v>精神三级;</v>
          </cell>
        </row>
        <row r="608">
          <cell r="B608" t="str">
            <v>51302119410808019X</v>
          </cell>
          <cell r="C608" t="str">
            <v>男</v>
          </cell>
          <cell r="D608" t="str">
            <v>汉族</v>
          </cell>
          <cell r="E608" t="str">
            <v>小学</v>
          </cell>
          <cell r="F608" t="str">
            <v>已婚</v>
          </cell>
          <cell r="G608" t="str">
            <v>非农业</v>
          </cell>
        </row>
        <row r="608">
          <cell r="I608" t="str">
            <v>15298117493</v>
          </cell>
          <cell r="J608" t="str">
            <v>石板街道</v>
          </cell>
          <cell r="K608" t="str">
            <v>石板社区</v>
          </cell>
          <cell r="L608" t="str">
            <v>四川省达县石板镇金刚街2号</v>
          </cell>
          <cell r="M608" t="str">
            <v>四川省达县石板镇金刚街2号</v>
          </cell>
        </row>
        <row r="608">
          <cell r="R608" t="str">
            <v>51302119410808019X43</v>
          </cell>
          <cell r="S608" t="str">
            <v>肢体</v>
          </cell>
          <cell r="T608" t="str">
            <v>三级</v>
          </cell>
          <cell r="U608" t="str">
            <v>肢体三级;</v>
          </cell>
        </row>
        <row r="609">
          <cell r="B609" t="str">
            <v>513021197306190190</v>
          </cell>
          <cell r="C609" t="str">
            <v>男</v>
          </cell>
          <cell r="D609" t="str">
            <v>汉族</v>
          </cell>
          <cell r="E609" t="str">
            <v>小学</v>
          </cell>
          <cell r="F609" t="str">
            <v>离婚</v>
          </cell>
          <cell r="G609" t="str">
            <v>非农业</v>
          </cell>
        </row>
        <row r="609">
          <cell r="I609" t="str">
            <v>13684236416</v>
          </cell>
          <cell r="J609" t="str">
            <v>石板街道</v>
          </cell>
          <cell r="K609" t="str">
            <v>石板社区</v>
          </cell>
          <cell r="L609" t="str">
            <v>四川省达州市达川区石板镇金刚街１号７栋５单元５号</v>
          </cell>
          <cell r="M609" t="str">
            <v>四川省达州市达川区石板镇金刚街１号７栋５单元５号</v>
          </cell>
        </row>
        <row r="609">
          <cell r="R609" t="str">
            <v>51302119730619019072</v>
          </cell>
          <cell r="S609" t="str">
            <v>多重</v>
          </cell>
          <cell r="T609" t="str">
            <v>二级</v>
          </cell>
          <cell r="U609" t="str">
            <v>听力二级;言语二级;</v>
          </cell>
        </row>
        <row r="610">
          <cell r="B610" t="str">
            <v>513021197504010875</v>
          </cell>
          <cell r="C610" t="str">
            <v>男</v>
          </cell>
          <cell r="D610" t="str">
            <v>汉族</v>
          </cell>
          <cell r="E610" t="str">
            <v>中专</v>
          </cell>
          <cell r="F610" t="str">
            <v>已婚</v>
          </cell>
          <cell r="G610" t="str">
            <v>非农业</v>
          </cell>
        </row>
        <row r="610">
          <cell r="I610" t="str">
            <v>13408198175</v>
          </cell>
          <cell r="J610" t="str">
            <v>石板街道</v>
          </cell>
          <cell r="K610" t="str">
            <v>石板社区</v>
          </cell>
          <cell r="L610" t="str">
            <v>四川省达州市达川区石板街道石板社区铜江路１００号</v>
          </cell>
          <cell r="M610" t="str">
            <v>四川省达州市达川区石板街道石板社区铜江路１００号</v>
          </cell>
        </row>
        <row r="610">
          <cell r="R610" t="str">
            <v>51302119750401087544</v>
          </cell>
          <cell r="S610" t="str">
            <v>肢体</v>
          </cell>
          <cell r="T610" t="str">
            <v>四级</v>
          </cell>
          <cell r="U610" t="str">
            <v>肢体四级;</v>
          </cell>
        </row>
        <row r="611">
          <cell r="B611" t="str">
            <v>513021193208060191</v>
          </cell>
          <cell r="C611" t="str">
            <v>男</v>
          </cell>
          <cell r="D611" t="str">
            <v>汉族</v>
          </cell>
          <cell r="E611" t="str">
            <v>小学</v>
          </cell>
          <cell r="F611" t="str">
            <v>丧偶</v>
          </cell>
          <cell r="G611" t="str">
            <v>农业</v>
          </cell>
        </row>
        <row r="611">
          <cell r="I611" t="str">
            <v>13882844963</v>
          </cell>
          <cell r="J611" t="str">
            <v>石板街道</v>
          </cell>
          <cell r="K611" t="str">
            <v>石板社区</v>
          </cell>
          <cell r="L611" t="str">
            <v>四川省达州市达川区石板镇金刚街１号８栋２单元２号</v>
          </cell>
          <cell r="M611" t="str">
            <v>四川省达州市达川区石板镇金刚街１号８栋２单元２号</v>
          </cell>
        </row>
        <row r="611">
          <cell r="R611" t="str">
            <v>51302119320806019144</v>
          </cell>
          <cell r="S611" t="str">
            <v>肢体</v>
          </cell>
          <cell r="T611" t="str">
            <v>四级</v>
          </cell>
          <cell r="U611" t="str">
            <v>肢体四级;</v>
          </cell>
        </row>
        <row r="612">
          <cell r="B612" t="str">
            <v>513021195508260442</v>
          </cell>
          <cell r="C612" t="str">
            <v>女</v>
          </cell>
          <cell r="D612" t="str">
            <v>汉族</v>
          </cell>
          <cell r="E612" t="str">
            <v>文盲</v>
          </cell>
          <cell r="F612" t="str">
            <v>已婚</v>
          </cell>
          <cell r="G612" t="str">
            <v>非农业</v>
          </cell>
        </row>
        <row r="612">
          <cell r="I612" t="str">
            <v>17365502826</v>
          </cell>
          <cell r="J612" t="str">
            <v>石板街道</v>
          </cell>
          <cell r="K612" t="str">
            <v>石板社区</v>
          </cell>
          <cell r="L612" t="str">
            <v>四川省达州市达川区石板街道石板社区政府街600号</v>
          </cell>
          <cell r="M612" t="str">
            <v>四川省达州市达川区石板街道石板社区政府街600号</v>
          </cell>
        </row>
        <row r="612">
          <cell r="R612" t="str">
            <v>51302119550826044223</v>
          </cell>
          <cell r="S612" t="str">
            <v>听力</v>
          </cell>
          <cell r="T612" t="str">
            <v>三级</v>
          </cell>
          <cell r="U612" t="str">
            <v>听力三级;</v>
          </cell>
        </row>
        <row r="613">
          <cell r="B613" t="str">
            <v>513021196812201855</v>
          </cell>
          <cell r="C613" t="str">
            <v>男</v>
          </cell>
          <cell r="D613" t="str">
            <v>汉族</v>
          </cell>
          <cell r="E613" t="str">
            <v>初中</v>
          </cell>
          <cell r="F613" t="str">
            <v>已婚</v>
          </cell>
          <cell r="G613" t="str">
            <v>非农业</v>
          </cell>
        </row>
        <row r="613">
          <cell r="J613" t="str">
            <v>石板街道</v>
          </cell>
          <cell r="K613" t="str">
            <v>石板社区</v>
          </cell>
          <cell r="L613" t="str">
            <v>四川省达县石板镇金刚街２号</v>
          </cell>
          <cell r="M613" t="str">
            <v>四川省达县石板镇金刚街１号２７栋４单元９号</v>
          </cell>
          <cell r="N613" t="str">
            <v>吴让秀</v>
          </cell>
          <cell r="O613" t="str">
            <v>配偶</v>
          </cell>
        </row>
        <row r="613">
          <cell r="R613" t="str">
            <v>51302119681220185544</v>
          </cell>
          <cell r="S613" t="str">
            <v>肢体</v>
          </cell>
          <cell r="T613" t="str">
            <v>四级</v>
          </cell>
          <cell r="U613" t="str">
            <v>肢体四级;</v>
          </cell>
        </row>
        <row r="614">
          <cell r="B614" t="str">
            <v>513021197009096106</v>
          </cell>
          <cell r="C614" t="str">
            <v>女</v>
          </cell>
          <cell r="D614" t="str">
            <v>汉族</v>
          </cell>
          <cell r="E614" t="str">
            <v>本科</v>
          </cell>
          <cell r="F614" t="str">
            <v>已婚</v>
          </cell>
          <cell r="G614" t="str">
            <v>农业</v>
          </cell>
        </row>
        <row r="614">
          <cell r="I614" t="str">
            <v>13982886597</v>
          </cell>
          <cell r="J614" t="str">
            <v>石板街道</v>
          </cell>
          <cell r="K614" t="str">
            <v>石板社区</v>
          </cell>
          <cell r="L614" t="str">
            <v>四川省达州市达川区石板镇政府街２６号</v>
          </cell>
          <cell r="M614" t="str">
            <v>四川省达县石板镇政府街２６号</v>
          </cell>
        </row>
        <row r="614">
          <cell r="R614" t="str">
            <v>51302119700909610644B1</v>
          </cell>
          <cell r="S614" t="str">
            <v>肢体</v>
          </cell>
          <cell r="T614" t="str">
            <v>四级</v>
          </cell>
          <cell r="U614" t="str">
            <v>肢体四级;</v>
          </cell>
        </row>
        <row r="615">
          <cell r="B615" t="str">
            <v>513027194909022326</v>
          </cell>
          <cell r="C615" t="str">
            <v>女</v>
          </cell>
          <cell r="D615" t="str">
            <v>汉族</v>
          </cell>
          <cell r="E615" t="str">
            <v>小学</v>
          </cell>
          <cell r="F615" t="str">
            <v>已婚</v>
          </cell>
          <cell r="G615" t="str">
            <v>非农业</v>
          </cell>
        </row>
        <row r="615">
          <cell r="I615" t="str">
            <v>00000000</v>
          </cell>
          <cell r="J615" t="str">
            <v>石板街道</v>
          </cell>
          <cell r="K615" t="str">
            <v>石板社区</v>
          </cell>
          <cell r="L615" t="str">
            <v>四川省达县石板镇金刚街１号２栋３号</v>
          </cell>
          <cell r="M615" t="str">
            <v>四川省达县石板镇金刚街１号２栋３号</v>
          </cell>
        </row>
        <row r="615">
          <cell r="R615" t="str">
            <v>51302719490902232643</v>
          </cell>
          <cell r="S615" t="str">
            <v>肢体</v>
          </cell>
          <cell r="T615" t="str">
            <v>三级</v>
          </cell>
          <cell r="U615" t="str">
            <v>肢体三级;</v>
          </cell>
        </row>
        <row r="616">
          <cell r="B616" t="str">
            <v>51302119741217045X</v>
          </cell>
          <cell r="C616" t="str">
            <v>男</v>
          </cell>
          <cell r="D616" t="str">
            <v>汉族</v>
          </cell>
          <cell r="E616" t="str">
            <v>初中</v>
          </cell>
          <cell r="F616" t="str">
            <v>已婚</v>
          </cell>
          <cell r="G616" t="str">
            <v>非农业</v>
          </cell>
        </row>
        <row r="616">
          <cell r="I616" t="str">
            <v>18781818751</v>
          </cell>
          <cell r="J616" t="str">
            <v>石板街道</v>
          </cell>
          <cell r="K616" t="str">
            <v>石板社区</v>
          </cell>
          <cell r="L616" t="str">
            <v>四川省达县石板镇政府街１７９号</v>
          </cell>
          <cell r="M616" t="str">
            <v>四川省达县石板镇政府街１７９号</v>
          </cell>
        </row>
        <row r="616">
          <cell r="R616" t="str">
            <v>51302119741217045X13</v>
          </cell>
          <cell r="S616" t="str">
            <v>视力</v>
          </cell>
          <cell r="T616" t="str">
            <v>三级</v>
          </cell>
          <cell r="U616" t="str">
            <v>视力三级;</v>
          </cell>
        </row>
        <row r="617">
          <cell r="B617" t="str">
            <v>513021193505180456</v>
          </cell>
          <cell r="C617" t="str">
            <v>男</v>
          </cell>
          <cell r="D617" t="str">
            <v>汉族</v>
          </cell>
          <cell r="E617" t="str">
            <v>小学</v>
          </cell>
          <cell r="F617" t="str">
            <v>已婚</v>
          </cell>
          <cell r="G617" t="str">
            <v>非农业</v>
          </cell>
        </row>
        <row r="617">
          <cell r="I617" t="str">
            <v>15681895878</v>
          </cell>
          <cell r="J617" t="str">
            <v>石板街道</v>
          </cell>
          <cell r="K617" t="str">
            <v>石板社区</v>
          </cell>
          <cell r="L617" t="str">
            <v>四川省达州市达川区石板街道石板社区政府街２７５号</v>
          </cell>
          <cell r="M617" t="str">
            <v>四川省达州市达川区石板街道石板社区政府街２７５号</v>
          </cell>
        </row>
        <row r="617">
          <cell r="R617" t="str">
            <v>51302119350518045644</v>
          </cell>
          <cell r="S617" t="str">
            <v>肢体</v>
          </cell>
          <cell r="T617" t="str">
            <v>四级</v>
          </cell>
          <cell r="U617" t="str">
            <v>肢体四级;</v>
          </cell>
        </row>
        <row r="618">
          <cell r="B618" t="str">
            <v>513021196110050458</v>
          </cell>
          <cell r="C618" t="str">
            <v>男</v>
          </cell>
          <cell r="D618" t="str">
            <v>汉族</v>
          </cell>
          <cell r="E618" t="str">
            <v>高中</v>
          </cell>
          <cell r="F618" t="str">
            <v>已婚</v>
          </cell>
          <cell r="G618" t="str">
            <v>非农业</v>
          </cell>
        </row>
        <row r="618">
          <cell r="I618" t="str">
            <v>18381863513</v>
          </cell>
          <cell r="J618" t="str">
            <v>石板街道</v>
          </cell>
          <cell r="K618" t="str">
            <v>石板社区</v>
          </cell>
          <cell r="L618" t="str">
            <v>四川省达县石板镇铜江路２７０号</v>
          </cell>
          <cell r="M618" t="str">
            <v>四川省达县石板镇铜江路２７０号</v>
          </cell>
        </row>
        <row r="618">
          <cell r="R618" t="str">
            <v>51302119611005045843</v>
          </cell>
          <cell r="S618" t="str">
            <v>肢体</v>
          </cell>
          <cell r="T618" t="str">
            <v>三级</v>
          </cell>
          <cell r="U618" t="str">
            <v>肢体三级;</v>
          </cell>
        </row>
        <row r="619">
          <cell r="B619" t="str">
            <v>513028197412100034</v>
          </cell>
          <cell r="C619" t="str">
            <v>男</v>
          </cell>
          <cell r="D619" t="str">
            <v>汉族</v>
          </cell>
          <cell r="E619" t="str">
            <v>高中</v>
          </cell>
          <cell r="F619" t="str">
            <v>已婚</v>
          </cell>
          <cell r="G619" t="str">
            <v>非农业</v>
          </cell>
        </row>
        <row r="619">
          <cell r="I619" t="str">
            <v>18780888251</v>
          </cell>
          <cell r="J619" t="str">
            <v>石板街道</v>
          </cell>
          <cell r="K619" t="str">
            <v>石板社区</v>
          </cell>
          <cell r="L619" t="str">
            <v>四川省达州市达川区石板街道石板社区金刚街１号１７栋３楼２号</v>
          </cell>
          <cell r="M619" t="str">
            <v>四川省达州市达川区石板街道石板社区金刚街１号１７栋３楼２号</v>
          </cell>
        </row>
        <row r="619">
          <cell r="R619" t="str">
            <v>51302819741210003443</v>
          </cell>
          <cell r="S619" t="str">
            <v>肢体</v>
          </cell>
          <cell r="T619" t="str">
            <v>三级</v>
          </cell>
          <cell r="U619" t="str">
            <v>肢体三级;</v>
          </cell>
        </row>
        <row r="620">
          <cell r="B620" t="str">
            <v>513021195103300194</v>
          </cell>
          <cell r="C620" t="str">
            <v>男</v>
          </cell>
          <cell r="D620" t="str">
            <v>汉族</v>
          </cell>
          <cell r="E620" t="str">
            <v>小学</v>
          </cell>
          <cell r="F620" t="str">
            <v>已婚</v>
          </cell>
          <cell r="G620" t="str">
            <v>非农业</v>
          </cell>
        </row>
        <row r="620">
          <cell r="I620" t="str">
            <v>15883738426</v>
          </cell>
          <cell r="J620" t="str">
            <v>石板街道</v>
          </cell>
          <cell r="K620" t="str">
            <v>石板社区</v>
          </cell>
          <cell r="L620" t="str">
            <v>四川省达州市达川区石板镇金刚街1号16栋3单元 12号</v>
          </cell>
          <cell r="M620" t="str">
            <v>四川省达县</v>
          </cell>
        </row>
        <row r="620">
          <cell r="R620" t="str">
            <v>51302119510330019442</v>
          </cell>
          <cell r="S620" t="str">
            <v>肢体</v>
          </cell>
          <cell r="T620" t="str">
            <v>二级</v>
          </cell>
          <cell r="U620" t="str">
            <v>肢体二级;</v>
          </cell>
        </row>
        <row r="621">
          <cell r="B621" t="str">
            <v>513029196802255092</v>
          </cell>
          <cell r="C621" t="str">
            <v>男</v>
          </cell>
          <cell r="D621" t="str">
            <v>汉族</v>
          </cell>
          <cell r="E621" t="str">
            <v>初中</v>
          </cell>
          <cell r="F621" t="str">
            <v>已婚</v>
          </cell>
          <cell r="G621" t="str">
            <v>非农业</v>
          </cell>
        </row>
        <row r="621">
          <cell r="I621" t="str">
            <v>18617309171</v>
          </cell>
          <cell r="J621" t="str">
            <v>石板街道</v>
          </cell>
          <cell r="K621" t="str">
            <v>石板社区</v>
          </cell>
          <cell r="L621" t="str">
            <v>四川省达州市达川区石板镇石板社区金刚街2号</v>
          </cell>
          <cell r="M621" t="str">
            <v>四川省达州市达川区石板镇石板社区金刚街2号</v>
          </cell>
        </row>
        <row r="621">
          <cell r="R621" t="str">
            <v>51302919680225509214</v>
          </cell>
          <cell r="S621" t="str">
            <v>视力</v>
          </cell>
          <cell r="T621" t="str">
            <v>四级</v>
          </cell>
          <cell r="U621" t="str">
            <v>视力四级;</v>
          </cell>
        </row>
        <row r="622">
          <cell r="B622" t="str">
            <v>513021196609230458</v>
          </cell>
          <cell r="C622" t="str">
            <v>男</v>
          </cell>
          <cell r="D622" t="str">
            <v>汉族</v>
          </cell>
          <cell r="E622" t="str">
            <v>初中</v>
          </cell>
          <cell r="F622" t="str">
            <v>已婚</v>
          </cell>
          <cell r="G622" t="str">
            <v>非农业</v>
          </cell>
        </row>
        <row r="622">
          <cell r="I622" t="str">
            <v>13079058298</v>
          </cell>
          <cell r="J622" t="str">
            <v>石板街道</v>
          </cell>
          <cell r="K622" t="str">
            <v>石板社区</v>
          </cell>
          <cell r="L622" t="str">
            <v>四川省达州市达川区石板镇石板社区政府街600号</v>
          </cell>
          <cell r="M622" t="str">
            <v>四川省达州市达川区石板镇石板社区政府街600号</v>
          </cell>
        </row>
        <row r="622">
          <cell r="R622" t="str">
            <v>51302119660923045823</v>
          </cell>
          <cell r="S622" t="str">
            <v>听力</v>
          </cell>
          <cell r="T622" t="str">
            <v>三级</v>
          </cell>
          <cell r="U622" t="str">
            <v>听力三级;</v>
          </cell>
        </row>
        <row r="623">
          <cell r="B623" t="str">
            <v>513021197209290237</v>
          </cell>
          <cell r="C623" t="str">
            <v>男</v>
          </cell>
          <cell r="D623" t="str">
            <v>汉族</v>
          </cell>
          <cell r="E623" t="str">
            <v>初中</v>
          </cell>
          <cell r="F623" t="str">
            <v>离婚</v>
          </cell>
          <cell r="G623" t="str">
            <v>非农业</v>
          </cell>
        </row>
        <row r="623">
          <cell r="I623" t="str">
            <v>13219195102</v>
          </cell>
          <cell r="J623" t="str">
            <v>石板街道</v>
          </cell>
          <cell r="K623" t="str">
            <v>石板社区</v>
          </cell>
          <cell r="L623" t="str">
            <v>四川省达州市达川区石板镇石板社区金刚街1号3栋2单元10号</v>
          </cell>
          <cell r="M623" t="str">
            <v>四川省达州市达川区石板镇石板社区金刚街1号3栋2单元10号</v>
          </cell>
        </row>
        <row r="623">
          <cell r="R623" t="str">
            <v>51302119720929023742</v>
          </cell>
          <cell r="S623" t="str">
            <v>肢体</v>
          </cell>
          <cell r="T623" t="str">
            <v>二级</v>
          </cell>
          <cell r="U623" t="str">
            <v>肢体二级;</v>
          </cell>
        </row>
        <row r="624">
          <cell r="B624" t="str">
            <v>513021197404114247</v>
          </cell>
          <cell r="C624" t="str">
            <v>女</v>
          </cell>
          <cell r="D624" t="str">
            <v>汉族</v>
          </cell>
          <cell r="E624" t="str">
            <v>高中</v>
          </cell>
          <cell r="F624" t="str">
            <v>已婚</v>
          </cell>
          <cell r="G624" t="str">
            <v>非农业</v>
          </cell>
        </row>
        <row r="624">
          <cell r="I624" t="str">
            <v>13668382586</v>
          </cell>
          <cell r="J624" t="str">
            <v>石板街道</v>
          </cell>
          <cell r="K624" t="str">
            <v>石板社区</v>
          </cell>
          <cell r="L624" t="str">
            <v>四川省达州市达川区石板镇金刚街2号</v>
          </cell>
          <cell r="M624" t="str">
            <v>四川省达县</v>
          </cell>
          <cell r="N624" t="str">
            <v>朱才元</v>
          </cell>
          <cell r="O624" t="str">
            <v>配偶</v>
          </cell>
        </row>
        <row r="624">
          <cell r="Q624" t="str">
            <v>13668382586</v>
          </cell>
          <cell r="R624" t="str">
            <v>51302119740411424762</v>
          </cell>
          <cell r="S624" t="str">
            <v>精神</v>
          </cell>
          <cell r="T624" t="str">
            <v>二级</v>
          </cell>
          <cell r="U624" t="str">
            <v>精神二级;</v>
          </cell>
        </row>
        <row r="625">
          <cell r="B625" t="str">
            <v>513021194803160191</v>
          </cell>
          <cell r="C625" t="str">
            <v>男</v>
          </cell>
          <cell r="D625" t="str">
            <v>汉族</v>
          </cell>
          <cell r="E625" t="str">
            <v>小学</v>
          </cell>
          <cell r="F625" t="str">
            <v>已婚</v>
          </cell>
          <cell r="G625" t="str">
            <v>非农业</v>
          </cell>
        </row>
        <row r="625">
          <cell r="I625" t="str">
            <v>18781815903</v>
          </cell>
          <cell r="J625" t="str">
            <v>石板街道</v>
          </cell>
          <cell r="K625" t="str">
            <v>石板社区</v>
          </cell>
          <cell r="L625" t="str">
            <v>四川省达州市达川区石板镇石板社区金刚街1号16栋4单元 7号</v>
          </cell>
          <cell r="M625" t="str">
            <v>四川省达州市达川区石板镇石板社区金刚街1号16栋4单元 7号</v>
          </cell>
        </row>
        <row r="625">
          <cell r="R625" t="str">
            <v>51302119480316019144</v>
          </cell>
          <cell r="S625" t="str">
            <v>肢体</v>
          </cell>
          <cell r="T625" t="str">
            <v>四级</v>
          </cell>
          <cell r="U625" t="str">
            <v>肢体四级;</v>
          </cell>
        </row>
        <row r="626">
          <cell r="B626" t="str">
            <v>513021195107100202</v>
          </cell>
          <cell r="C626" t="str">
            <v>女</v>
          </cell>
          <cell r="D626" t="str">
            <v>汉族</v>
          </cell>
          <cell r="E626" t="str">
            <v>文盲</v>
          </cell>
          <cell r="F626" t="str">
            <v>已婚</v>
          </cell>
          <cell r="G626" t="str">
            <v>非农业</v>
          </cell>
        </row>
        <row r="626">
          <cell r="I626" t="str">
            <v>13778377275</v>
          </cell>
          <cell r="J626" t="str">
            <v>石板街道</v>
          </cell>
          <cell r="K626" t="str">
            <v>石板社区</v>
          </cell>
          <cell r="L626" t="str">
            <v>四川省达州市达川区石板镇石板社区金刚街1号27栋3单元5号</v>
          </cell>
          <cell r="M626" t="str">
            <v>四川省达州市达川区石板镇石板社区金刚街1号27栋3单元5号</v>
          </cell>
        </row>
        <row r="626">
          <cell r="R626" t="str">
            <v>51302119510710020244</v>
          </cell>
          <cell r="S626" t="str">
            <v>肢体</v>
          </cell>
          <cell r="T626" t="str">
            <v>四级</v>
          </cell>
          <cell r="U626" t="str">
            <v>肢体四级;</v>
          </cell>
        </row>
        <row r="627">
          <cell r="B627" t="str">
            <v>513021195507270200</v>
          </cell>
          <cell r="C627" t="str">
            <v>女</v>
          </cell>
          <cell r="D627" t="str">
            <v>汉族</v>
          </cell>
          <cell r="E627" t="str">
            <v>小学</v>
          </cell>
          <cell r="F627" t="str">
            <v>已婚</v>
          </cell>
          <cell r="G627" t="str">
            <v>非农业</v>
          </cell>
        </row>
        <row r="627">
          <cell r="I627" t="str">
            <v>18180579855</v>
          </cell>
          <cell r="J627" t="str">
            <v>石板街道</v>
          </cell>
          <cell r="K627" t="str">
            <v>石板社区</v>
          </cell>
          <cell r="L627" t="str">
            <v>四川省达州市达川区石板镇石板社区1号9栋4单元5号</v>
          </cell>
          <cell r="M627" t="str">
            <v>四川省达州市达川区石板镇石板社区1号9栋4单元5号</v>
          </cell>
          <cell r="N627" t="str">
            <v>张年福</v>
          </cell>
          <cell r="O627" t="str">
            <v>配偶</v>
          </cell>
        </row>
        <row r="627">
          <cell r="Q627" t="str">
            <v>18180579855</v>
          </cell>
          <cell r="R627" t="str">
            <v>51302119550727020063</v>
          </cell>
          <cell r="S627" t="str">
            <v>精神</v>
          </cell>
          <cell r="T627" t="str">
            <v>三级</v>
          </cell>
          <cell r="U627" t="str">
            <v>精神三级;</v>
          </cell>
        </row>
        <row r="628">
          <cell r="B628" t="str">
            <v>513021195112210465</v>
          </cell>
          <cell r="C628" t="str">
            <v>女</v>
          </cell>
          <cell r="D628" t="str">
            <v>汉族</v>
          </cell>
          <cell r="E628" t="str">
            <v>文盲</v>
          </cell>
          <cell r="F628" t="str">
            <v>已婚</v>
          </cell>
          <cell r="G628" t="str">
            <v>非农业</v>
          </cell>
        </row>
        <row r="628">
          <cell r="I628" t="str">
            <v>17311521150</v>
          </cell>
          <cell r="J628" t="str">
            <v>石板街道</v>
          </cell>
          <cell r="K628" t="str">
            <v>石板社区</v>
          </cell>
          <cell r="L628" t="str">
            <v>四川省达州市达川区石板镇石板社区政府街600号</v>
          </cell>
          <cell r="M628" t="str">
            <v>四川省达州市达川区石板镇石板社区政府街600号</v>
          </cell>
        </row>
        <row r="628">
          <cell r="R628" t="str">
            <v>51302119511221046544</v>
          </cell>
          <cell r="S628" t="str">
            <v>肢体</v>
          </cell>
          <cell r="T628" t="str">
            <v>四级</v>
          </cell>
          <cell r="U628" t="str">
            <v>肢体四级;</v>
          </cell>
        </row>
        <row r="629">
          <cell r="B629" t="str">
            <v>513021197912250480</v>
          </cell>
          <cell r="C629" t="str">
            <v>女</v>
          </cell>
          <cell r="D629" t="str">
            <v>汉族</v>
          </cell>
          <cell r="E629" t="str">
            <v>初中</v>
          </cell>
          <cell r="F629" t="str">
            <v>已婚</v>
          </cell>
          <cell r="G629" t="str">
            <v>非农业</v>
          </cell>
        </row>
        <row r="629">
          <cell r="I629" t="str">
            <v>18281881639</v>
          </cell>
          <cell r="J629" t="str">
            <v>石板街道</v>
          </cell>
          <cell r="K629" t="str">
            <v>石板社区</v>
          </cell>
          <cell r="L629" t="str">
            <v>四川省达州市达川区石板镇石板社区铜江路29号</v>
          </cell>
          <cell r="M629" t="str">
            <v>四川省达州市达川区石板镇石板社区铜江路29号</v>
          </cell>
          <cell r="N629" t="str">
            <v>夏本芳</v>
          </cell>
          <cell r="O629" t="str">
            <v>父母</v>
          </cell>
        </row>
        <row r="629">
          <cell r="Q629" t="str">
            <v>18281881639</v>
          </cell>
          <cell r="R629" t="str">
            <v>51302119791225048062</v>
          </cell>
          <cell r="S629" t="str">
            <v>精神</v>
          </cell>
          <cell r="T629" t="str">
            <v>二级</v>
          </cell>
          <cell r="U629" t="str">
            <v>精神二级;</v>
          </cell>
        </row>
        <row r="630">
          <cell r="B630" t="str">
            <v>511721201309145729</v>
          </cell>
          <cell r="C630" t="str">
            <v>女</v>
          </cell>
          <cell r="D630" t="str">
            <v>汉族</v>
          </cell>
          <cell r="E630" t="str">
            <v>小学</v>
          </cell>
          <cell r="F630" t="str">
            <v>未婚</v>
          </cell>
          <cell r="G630" t="str">
            <v>非农业</v>
          </cell>
        </row>
        <row r="630">
          <cell r="I630" t="str">
            <v>13982885955</v>
          </cell>
          <cell r="J630" t="str">
            <v>石板街道</v>
          </cell>
          <cell r="K630" t="str">
            <v>石板社区</v>
          </cell>
          <cell r="L630" t="str">
            <v>四川省达州市达川区石板街道石板社区铜江路448号</v>
          </cell>
          <cell r="M630" t="str">
            <v>四川省达州市达川区石板街道石板社区铜江路448号</v>
          </cell>
          <cell r="N630" t="str">
            <v>文贵平</v>
          </cell>
          <cell r="O630" t="str">
            <v>父母</v>
          </cell>
        </row>
        <row r="630">
          <cell r="Q630" t="str">
            <v>13982885955</v>
          </cell>
          <cell r="R630" t="str">
            <v>51172120130914572953</v>
          </cell>
          <cell r="S630" t="str">
            <v>智力</v>
          </cell>
          <cell r="T630" t="str">
            <v>三级</v>
          </cell>
          <cell r="U630" t="str">
            <v>智力三级;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85">
          <cell r="B85" t="str">
            <v>513021197001200466</v>
          </cell>
          <cell r="C85" t="str">
            <v>女</v>
          </cell>
          <cell r="D85" t="str">
            <v>汉族</v>
          </cell>
          <cell r="E85" t="str">
            <v>初中</v>
          </cell>
          <cell r="F85" t="str">
            <v>已婚</v>
          </cell>
          <cell r="G85" t="str">
            <v>农业</v>
          </cell>
        </row>
        <row r="85">
          <cell r="I85" t="str">
            <v>15881880230</v>
          </cell>
          <cell r="J85" t="str">
            <v>百节镇</v>
          </cell>
          <cell r="K85" t="str">
            <v>梯岩村</v>
          </cell>
          <cell r="L85" t="str">
            <v>四川省达州市达川区百节镇梯岩村5组</v>
          </cell>
          <cell r="M85" t="str">
            <v>四川省达州市达川区百节镇梯岩村5组</v>
          </cell>
        </row>
        <row r="85">
          <cell r="O85" t="str">
            <v>其他</v>
          </cell>
        </row>
        <row r="85">
          <cell r="R85" t="str">
            <v>51302119700120046611B1</v>
          </cell>
          <cell r="S85" t="str">
            <v>视力</v>
          </cell>
          <cell r="T85" t="str">
            <v>一级</v>
          </cell>
          <cell r="U85" t="str">
            <v>视力一级;</v>
          </cell>
        </row>
        <row r="86">
          <cell r="B86" t="str">
            <v>513021196304110869</v>
          </cell>
          <cell r="C86" t="str">
            <v>女</v>
          </cell>
          <cell r="D86" t="str">
            <v>汉族</v>
          </cell>
          <cell r="E86" t="str">
            <v>初中</v>
          </cell>
          <cell r="F86" t="str">
            <v>已婚</v>
          </cell>
          <cell r="G86" t="str">
            <v>农业</v>
          </cell>
        </row>
        <row r="86">
          <cell r="I86" t="str">
            <v>15983884799</v>
          </cell>
          <cell r="J86" t="str">
            <v>百节镇</v>
          </cell>
          <cell r="K86" t="str">
            <v>梯岩村</v>
          </cell>
          <cell r="L86" t="str">
            <v>四川省达县百节镇梯岩村７组３号</v>
          </cell>
          <cell r="M86" t="str">
            <v>四川省达县百节镇梯岩村７组３号</v>
          </cell>
          <cell r="N86" t="str">
            <v>邓益明</v>
          </cell>
          <cell r="O86" t="str">
            <v>配偶</v>
          </cell>
        </row>
        <row r="86">
          <cell r="Q86" t="str">
            <v>15983884799</v>
          </cell>
          <cell r="R86" t="str">
            <v>51302119630411086963</v>
          </cell>
          <cell r="S86" t="str">
            <v>精神</v>
          </cell>
          <cell r="T86" t="str">
            <v>三级</v>
          </cell>
          <cell r="U86" t="str">
            <v>精神三级;</v>
          </cell>
        </row>
        <row r="87">
          <cell r="B87" t="str">
            <v>513021198211050894</v>
          </cell>
          <cell r="C87" t="str">
            <v>男</v>
          </cell>
          <cell r="D87" t="str">
            <v>汉族</v>
          </cell>
          <cell r="E87" t="str">
            <v>初中</v>
          </cell>
          <cell r="F87" t="str">
            <v>未婚</v>
          </cell>
          <cell r="G87" t="str">
            <v>农业</v>
          </cell>
        </row>
        <row r="87">
          <cell r="I87" t="str">
            <v>13419070707</v>
          </cell>
          <cell r="J87" t="str">
            <v>百节镇</v>
          </cell>
          <cell r="K87" t="str">
            <v>梯岩村</v>
          </cell>
          <cell r="L87" t="str">
            <v>四川省达县百节镇梯岩村5组</v>
          </cell>
          <cell r="M87" t="str">
            <v>四川省达县百节镇梯岩村5组</v>
          </cell>
        </row>
        <row r="87">
          <cell r="R87" t="str">
            <v>51302119821105089443</v>
          </cell>
          <cell r="S87" t="str">
            <v>肢体</v>
          </cell>
          <cell r="T87" t="str">
            <v>三级</v>
          </cell>
          <cell r="U87" t="str">
            <v>肢体三级;</v>
          </cell>
        </row>
        <row r="88">
          <cell r="B88" t="str">
            <v>513021196909252552</v>
          </cell>
          <cell r="C88" t="str">
            <v>男</v>
          </cell>
          <cell r="D88" t="str">
            <v>汉族</v>
          </cell>
          <cell r="E88" t="str">
            <v>小学</v>
          </cell>
          <cell r="F88" t="str">
            <v>未婚</v>
          </cell>
          <cell r="G88" t="str">
            <v>农业</v>
          </cell>
        </row>
        <row r="88">
          <cell r="I88" t="str">
            <v>00000000</v>
          </cell>
          <cell r="J88" t="str">
            <v>百节镇</v>
          </cell>
          <cell r="K88" t="str">
            <v>梯岩村</v>
          </cell>
          <cell r="L88" t="str">
            <v>四川省达州市达川区马家乡东会村２组１５号</v>
          </cell>
          <cell r="M88" t="str">
            <v>四川省达州市达川区马家乡东会村２组１５号</v>
          </cell>
        </row>
        <row r="88">
          <cell r="R88" t="str">
            <v>51302119690925255244</v>
          </cell>
          <cell r="S88" t="str">
            <v>肢体</v>
          </cell>
          <cell r="T88" t="str">
            <v>四级</v>
          </cell>
          <cell r="U88" t="str">
            <v>肢体四级;</v>
          </cell>
        </row>
        <row r="89">
          <cell r="B89" t="str">
            <v>513021198304211685</v>
          </cell>
          <cell r="C89" t="str">
            <v>女</v>
          </cell>
          <cell r="D89" t="str">
            <v>汉族</v>
          </cell>
          <cell r="E89" t="str">
            <v>高中</v>
          </cell>
          <cell r="F89" t="str">
            <v>未婚</v>
          </cell>
          <cell r="G89" t="str">
            <v>农业</v>
          </cell>
        </row>
        <row r="89">
          <cell r="I89" t="str">
            <v>19162923597</v>
          </cell>
          <cell r="J89" t="str">
            <v>百节镇</v>
          </cell>
          <cell r="K89" t="str">
            <v>梯岩村</v>
          </cell>
          <cell r="L89" t="str">
            <v>四川省达州市达川区百节镇梯岩村6组</v>
          </cell>
          <cell r="M89" t="str">
            <v>四川省达州市达川区百节镇梯岩村6组</v>
          </cell>
          <cell r="N89" t="str">
            <v>程代忠</v>
          </cell>
          <cell r="O89" t="str">
            <v>父母</v>
          </cell>
        </row>
        <row r="89">
          <cell r="Q89" t="str">
            <v>15892959189</v>
          </cell>
          <cell r="R89" t="str">
            <v>51302119830421168562</v>
          </cell>
          <cell r="S89" t="str">
            <v>精神</v>
          </cell>
          <cell r="T89" t="str">
            <v>二级</v>
          </cell>
          <cell r="U89" t="str">
            <v>精神二级;</v>
          </cell>
        </row>
        <row r="90">
          <cell r="B90" t="str">
            <v>513021197004080906</v>
          </cell>
          <cell r="C90" t="str">
            <v>女</v>
          </cell>
          <cell r="D90" t="str">
            <v>汉族</v>
          </cell>
          <cell r="E90" t="str">
            <v>小学</v>
          </cell>
          <cell r="F90" t="str">
            <v>已婚</v>
          </cell>
          <cell r="G90" t="str">
            <v>农业</v>
          </cell>
        </row>
        <row r="90">
          <cell r="I90" t="str">
            <v>15082862682</v>
          </cell>
          <cell r="J90" t="str">
            <v>百节镇</v>
          </cell>
          <cell r="K90" t="str">
            <v>梯岩村</v>
          </cell>
          <cell r="L90" t="str">
            <v>四川省达州市达川区百节镇梯岩村３组５５号</v>
          </cell>
          <cell r="M90" t="str">
            <v>四川省达州市达川区百节镇梯岩村３组５５号</v>
          </cell>
        </row>
        <row r="90">
          <cell r="R90" t="str">
            <v>51302119700408090611</v>
          </cell>
          <cell r="S90" t="str">
            <v>视力</v>
          </cell>
          <cell r="T90" t="str">
            <v>一级</v>
          </cell>
          <cell r="U90" t="str">
            <v>视力一级;</v>
          </cell>
        </row>
        <row r="91">
          <cell r="B91" t="str">
            <v>513021197703242505</v>
          </cell>
          <cell r="C91" t="str">
            <v>女</v>
          </cell>
          <cell r="D91" t="str">
            <v>汉族</v>
          </cell>
          <cell r="E91" t="str">
            <v>文盲</v>
          </cell>
          <cell r="F91" t="str">
            <v>已婚</v>
          </cell>
          <cell r="G91" t="str">
            <v>农业</v>
          </cell>
        </row>
        <row r="91">
          <cell r="I91" t="str">
            <v>15508208770</v>
          </cell>
          <cell r="J91" t="str">
            <v>百节镇</v>
          </cell>
          <cell r="K91" t="str">
            <v>梯岩村</v>
          </cell>
          <cell r="L91" t="str">
            <v>四川省达州市达川区马家乡东会村4组39号</v>
          </cell>
          <cell r="M91" t="str">
            <v>四川省达州市达川区马家乡东会村4组39号</v>
          </cell>
          <cell r="N91" t="str">
            <v>何安琼</v>
          </cell>
          <cell r="O91" t="str">
            <v>父母</v>
          </cell>
        </row>
        <row r="91">
          <cell r="Q91" t="str">
            <v>15508208770</v>
          </cell>
          <cell r="R91" t="str">
            <v>51302119770324250553</v>
          </cell>
          <cell r="S91" t="str">
            <v>智力</v>
          </cell>
          <cell r="T91" t="str">
            <v>三级</v>
          </cell>
          <cell r="U91" t="str">
            <v>智力三级;</v>
          </cell>
        </row>
        <row r="92">
          <cell r="B92" t="str">
            <v>513021195408040864</v>
          </cell>
          <cell r="C92" t="str">
            <v>女</v>
          </cell>
          <cell r="D92" t="str">
            <v>汉族</v>
          </cell>
          <cell r="E92" t="str">
            <v>小学</v>
          </cell>
          <cell r="F92" t="str">
            <v>已婚</v>
          </cell>
          <cell r="G92" t="str">
            <v>农业</v>
          </cell>
        </row>
        <row r="92">
          <cell r="I92" t="str">
            <v>00000000</v>
          </cell>
          <cell r="J92" t="str">
            <v>百节镇</v>
          </cell>
          <cell r="K92" t="str">
            <v>梯岩村</v>
          </cell>
          <cell r="L92" t="str">
            <v>四川省达州市达川区百节镇梯岩村２组１７号</v>
          </cell>
          <cell r="M92" t="str">
            <v>四川省达县百节镇梯岩村２组１７号</v>
          </cell>
        </row>
        <row r="92">
          <cell r="R92" t="str">
            <v>51302119540804086444</v>
          </cell>
          <cell r="S92" t="str">
            <v>肢体</v>
          </cell>
          <cell r="T92" t="str">
            <v>四级</v>
          </cell>
          <cell r="U92" t="str">
            <v>肢体四级;</v>
          </cell>
        </row>
        <row r="93">
          <cell r="B93" t="str">
            <v>513021195202270875</v>
          </cell>
          <cell r="C93" t="str">
            <v>男</v>
          </cell>
          <cell r="D93" t="str">
            <v>汉族</v>
          </cell>
          <cell r="E93" t="str">
            <v>小学</v>
          </cell>
          <cell r="F93" t="str">
            <v>未婚</v>
          </cell>
          <cell r="G93" t="str">
            <v>农业</v>
          </cell>
        </row>
        <row r="93">
          <cell r="I93" t="str">
            <v>18282283410</v>
          </cell>
          <cell r="J93" t="str">
            <v>百节镇</v>
          </cell>
          <cell r="K93" t="str">
            <v>梯岩村</v>
          </cell>
          <cell r="L93" t="str">
            <v>四川省达州市达川区百节镇梯岩村２组４９号</v>
          </cell>
          <cell r="M93" t="str">
            <v>四川省达州市达川区百节镇梯岩村２组４９号</v>
          </cell>
        </row>
        <row r="93">
          <cell r="R93" t="str">
            <v>51302119520227087543</v>
          </cell>
          <cell r="S93" t="str">
            <v>肢体</v>
          </cell>
          <cell r="T93" t="str">
            <v>三级</v>
          </cell>
          <cell r="U93" t="str">
            <v>肢体三级;</v>
          </cell>
        </row>
        <row r="94">
          <cell r="B94" t="str">
            <v>513021196508050909</v>
          </cell>
          <cell r="C94" t="str">
            <v>女</v>
          </cell>
          <cell r="D94" t="str">
            <v>汉族</v>
          </cell>
          <cell r="E94" t="str">
            <v>初中</v>
          </cell>
          <cell r="F94" t="str">
            <v>已婚</v>
          </cell>
          <cell r="G94" t="str">
            <v>农业</v>
          </cell>
        </row>
        <row r="94">
          <cell r="I94" t="str">
            <v>00000000000</v>
          </cell>
          <cell r="J94" t="str">
            <v>百节镇</v>
          </cell>
          <cell r="K94" t="str">
            <v>梯岩村</v>
          </cell>
          <cell r="L94" t="str">
            <v>四川省达州市达川区百节镇梯岩村４组１号</v>
          </cell>
          <cell r="M94" t="str">
            <v>四川省达县百节镇梯岩村４组１号</v>
          </cell>
        </row>
        <row r="94">
          <cell r="R94" t="str">
            <v>51302119650805090913</v>
          </cell>
          <cell r="S94" t="str">
            <v>视力</v>
          </cell>
          <cell r="T94" t="str">
            <v>三级</v>
          </cell>
          <cell r="U94" t="str">
            <v>视力三级;</v>
          </cell>
        </row>
        <row r="95">
          <cell r="B95" t="str">
            <v>51302119420401087X</v>
          </cell>
          <cell r="C95" t="str">
            <v>男</v>
          </cell>
          <cell r="D95" t="str">
            <v>汉族</v>
          </cell>
          <cell r="E95" t="str">
            <v>小学</v>
          </cell>
          <cell r="F95" t="str">
            <v>未婚</v>
          </cell>
          <cell r="G95" t="str">
            <v>农业</v>
          </cell>
        </row>
        <row r="95">
          <cell r="I95" t="str">
            <v>15908284016</v>
          </cell>
          <cell r="J95" t="str">
            <v>百节镇</v>
          </cell>
          <cell r="K95" t="str">
            <v>梯岩村</v>
          </cell>
          <cell r="L95" t="str">
            <v>四川省达县百节镇梯岩村2组１５号</v>
          </cell>
          <cell r="M95" t="str">
            <v>四川省达县百节镇梯岩村2组１５号</v>
          </cell>
        </row>
        <row r="95">
          <cell r="R95" t="str">
            <v>51302119420401087X43</v>
          </cell>
          <cell r="S95" t="str">
            <v>肢体</v>
          </cell>
          <cell r="T95" t="str">
            <v>三级</v>
          </cell>
          <cell r="U95" t="str">
            <v>肢体三级;</v>
          </cell>
        </row>
        <row r="96">
          <cell r="B96" t="str">
            <v>513021195510090884</v>
          </cell>
          <cell r="C96" t="str">
            <v>女</v>
          </cell>
          <cell r="D96" t="str">
            <v>汉族</v>
          </cell>
          <cell r="E96" t="str">
            <v>小学</v>
          </cell>
          <cell r="F96" t="str">
            <v>已婚</v>
          </cell>
          <cell r="G96" t="str">
            <v>农业</v>
          </cell>
        </row>
        <row r="96">
          <cell r="I96" t="str">
            <v>15082407213</v>
          </cell>
          <cell r="J96" t="str">
            <v>百节镇</v>
          </cell>
          <cell r="K96" t="str">
            <v>梯岩村</v>
          </cell>
          <cell r="L96" t="str">
            <v>四川省达县百节镇梯岩村１组１６号</v>
          </cell>
          <cell r="M96" t="str">
            <v>四川省达县百节镇梯岩村１组１６号</v>
          </cell>
        </row>
        <row r="96">
          <cell r="R96" t="str">
            <v>51302119551009088443</v>
          </cell>
          <cell r="S96" t="str">
            <v>肢体</v>
          </cell>
          <cell r="T96" t="str">
            <v>三级</v>
          </cell>
          <cell r="U96" t="str">
            <v>肢体三级;</v>
          </cell>
        </row>
        <row r="97">
          <cell r="B97" t="str">
            <v>513021195105010916</v>
          </cell>
          <cell r="C97" t="str">
            <v>男</v>
          </cell>
          <cell r="D97" t="str">
            <v>汉族</v>
          </cell>
          <cell r="E97" t="str">
            <v>小学</v>
          </cell>
          <cell r="F97" t="str">
            <v>丧偶</v>
          </cell>
          <cell r="G97" t="str">
            <v>农业</v>
          </cell>
        </row>
        <row r="97">
          <cell r="I97" t="str">
            <v>14781894478</v>
          </cell>
          <cell r="J97" t="str">
            <v>百节镇</v>
          </cell>
          <cell r="K97" t="str">
            <v>梯岩村</v>
          </cell>
          <cell r="L97" t="str">
            <v>四川省达州市达川区百节镇梯岩村２组５２号</v>
          </cell>
          <cell r="M97" t="str">
            <v>四川省达县百节镇梯岩村２组５２号</v>
          </cell>
        </row>
        <row r="97">
          <cell r="R97" t="str">
            <v>51302119510501091644</v>
          </cell>
          <cell r="S97" t="str">
            <v>肢体</v>
          </cell>
          <cell r="T97" t="str">
            <v>四级</v>
          </cell>
          <cell r="U97" t="str">
            <v>肢体四级;</v>
          </cell>
        </row>
        <row r="98">
          <cell r="B98" t="str">
            <v>513021195404250872</v>
          </cell>
          <cell r="C98" t="str">
            <v>男</v>
          </cell>
          <cell r="D98" t="str">
            <v>汉族</v>
          </cell>
          <cell r="E98" t="str">
            <v>小学</v>
          </cell>
          <cell r="F98" t="str">
            <v>已婚</v>
          </cell>
          <cell r="G98" t="str">
            <v>农业</v>
          </cell>
        </row>
        <row r="98">
          <cell r="I98" t="str">
            <v>18381829917</v>
          </cell>
          <cell r="J98" t="str">
            <v>百节镇</v>
          </cell>
          <cell r="K98" t="str">
            <v>梯岩村</v>
          </cell>
          <cell r="L98" t="str">
            <v>四川省达县百节镇梯岩村3组５９号</v>
          </cell>
          <cell r="M98" t="str">
            <v>四川省达县百节镇梯岩村3组５９号</v>
          </cell>
        </row>
        <row r="98">
          <cell r="R98" t="str">
            <v>51302119540425087243</v>
          </cell>
          <cell r="S98" t="str">
            <v>肢体</v>
          </cell>
          <cell r="T98" t="str">
            <v>三级</v>
          </cell>
          <cell r="U98" t="str">
            <v>肢体三级;</v>
          </cell>
        </row>
        <row r="99">
          <cell r="B99" t="str">
            <v>513021193508092507</v>
          </cell>
          <cell r="C99" t="str">
            <v>女</v>
          </cell>
          <cell r="D99" t="str">
            <v>汉族</v>
          </cell>
          <cell r="E99" t="str">
            <v>文盲</v>
          </cell>
          <cell r="F99" t="str">
            <v>已婚</v>
          </cell>
          <cell r="G99" t="str">
            <v>农业</v>
          </cell>
        </row>
        <row r="99">
          <cell r="I99" t="str">
            <v>15182877927</v>
          </cell>
          <cell r="J99" t="str">
            <v>百节镇</v>
          </cell>
          <cell r="K99" t="str">
            <v>梯岩村</v>
          </cell>
          <cell r="L99" t="str">
            <v>四川省达州市达川区百节镇梯岩村８组７号</v>
          </cell>
          <cell r="M99" t="str">
            <v>四川省达州市达川区百节镇梯岩村８组７号</v>
          </cell>
        </row>
        <row r="99">
          <cell r="R99" t="str">
            <v>51302119350809250711</v>
          </cell>
          <cell r="S99" t="str">
            <v>视力</v>
          </cell>
          <cell r="T99" t="str">
            <v>一级</v>
          </cell>
          <cell r="U99" t="str">
            <v>视力一级;</v>
          </cell>
        </row>
        <row r="100">
          <cell r="B100" t="str">
            <v>513021196005300865</v>
          </cell>
          <cell r="C100" t="str">
            <v>女</v>
          </cell>
          <cell r="D100" t="str">
            <v>汉族</v>
          </cell>
          <cell r="E100" t="str">
            <v>小学</v>
          </cell>
          <cell r="F100" t="str">
            <v>已婚</v>
          </cell>
          <cell r="G100" t="str">
            <v>农业</v>
          </cell>
        </row>
        <row r="100">
          <cell r="I100" t="str">
            <v>15281894145</v>
          </cell>
          <cell r="J100" t="str">
            <v>百节镇</v>
          </cell>
          <cell r="K100" t="str">
            <v>梯岩村</v>
          </cell>
          <cell r="L100" t="str">
            <v>四川省达州市达川区百节镇梯岩村３组３８号</v>
          </cell>
          <cell r="M100" t="str">
            <v>四川省达县百节镇梯岩村３组３８号</v>
          </cell>
        </row>
        <row r="100">
          <cell r="R100" t="str">
            <v>51302119600530086512</v>
          </cell>
          <cell r="S100" t="str">
            <v>视力</v>
          </cell>
          <cell r="T100" t="str">
            <v>二级</v>
          </cell>
          <cell r="U100" t="str">
            <v>视力二级;</v>
          </cell>
        </row>
        <row r="101">
          <cell r="B101" t="str">
            <v>513021196405260874</v>
          </cell>
          <cell r="C101" t="str">
            <v>男</v>
          </cell>
          <cell r="D101" t="str">
            <v>汉族</v>
          </cell>
          <cell r="E101" t="str">
            <v>初中</v>
          </cell>
          <cell r="F101" t="str">
            <v>已婚</v>
          </cell>
          <cell r="G101" t="str">
            <v>农业</v>
          </cell>
        </row>
        <row r="101">
          <cell r="I101" t="str">
            <v>000000000</v>
          </cell>
          <cell r="J101" t="str">
            <v>百节镇</v>
          </cell>
          <cell r="K101" t="str">
            <v>梯岩村</v>
          </cell>
          <cell r="L101" t="str">
            <v>四川省达县百节镇梯岩村７组１号</v>
          </cell>
          <cell r="M101" t="str">
            <v>四川省达县百节镇梯岩村７组１号</v>
          </cell>
          <cell r="N101" t="str">
            <v>冯翠华</v>
          </cell>
          <cell r="O101" t="str">
            <v>配偶</v>
          </cell>
        </row>
        <row r="101">
          <cell r="R101" t="str">
            <v>51302119640526087444</v>
          </cell>
          <cell r="S101" t="str">
            <v>肢体</v>
          </cell>
          <cell r="T101" t="str">
            <v>四级</v>
          </cell>
          <cell r="U101" t="str">
            <v>肢体四级;</v>
          </cell>
        </row>
        <row r="102">
          <cell r="B102" t="str">
            <v>513021195505190864</v>
          </cell>
          <cell r="C102" t="str">
            <v>女</v>
          </cell>
          <cell r="D102" t="str">
            <v>汉族</v>
          </cell>
          <cell r="E102" t="str">
            <v>高中</v>
          </cell>
          <cell r="F102" t="str">
            <v>已婚</v>
          </cell>
          <cell r="G102" t="str">
            <v>农业</v>
          </cell>
        </row>
        <row r="102">
          <cell r="I102" t="str">
            <v>15881839418</v>
          </cell>
          <cell r="J102" t="str">
            <v>百节镇</v>
          </cell>
          <cell r="K102" t="str">
            <v>梯岩村</v>
          </cell>
          <cell r="L102" t="str">
            <v>四川省达州市达川区百节镇梯岩村７组１９号</v>
          </cell>
          <cell r="M102" t="str">
            <v>四川省达县百节镇梯岩村７组１９号</v>
          </cell>
        </row>
        <row r="102">
          <cell r="R102" t="str">
            <v>51302119550519086444</v>
          </cell>
          <cell r="S102" t="str">
            <v>肢体</v>
          </cell>
          <cell r="T102" t="str">
            <v>四级</v>
          </cell>
          <cell r="U102" t="str">
            <v>肢体四级;</v>
          </cell>
        </row>
        <row r="103">
          <cell r="B103" t="str">
            <v>513021196603200936</v>
          </cell>
          <cell r="C103" t="str">
            <v>男</v>
          </cell>
          <cell r="D103" t="str">
            <v>汉族</v>
          </cell>
          <cell r="E103" t="str">
            <v>初中</v>
          </cell>
          <cell r="F103" t="str">
            <v>未婚</v>
          </cell>
          <cell r="G103" t="str">
            <v>农业</v>
          </cell>
        </row>
        <row r="103">
          <cell r="I103" t="str">
            <v>18781823393</v>
          </cell>
          <cell r="J103" t="str">
            <v>百节镇</v>
          </cell>
          <cell r="K103" t="str">
            <v>梯岩村</v>
          </cell>
          <cell r="L103" t="str">
            <v>四川省达县百节镇梯岩村6组１１号</v>
          </cell>
          <cell r="M103" t="str">
            <v>四川省达县百节镇梯岩村6组１１号</v>
          </cell>
        </row>
        <row r="103">
          <cell r="R103" t="str">
            <v>51302119660320093644</v>
          </cell>
          <cell r="S103" t="str">
            <v>肢体</v>
          </cell>
          <cell r="T103" t="str">
            <v>四级</v>
          </cell>
          <cell r="U103" t="str">
            <v>肢体四级;</v>
          </cell>
        </row>
        <row r="104">
          <cell r="B104" t="str">
            <v>513021192812140863</v>
          </cell>
          <cell r="C104" t="str">
            <v>女</v>
          </cell>
          <cell r="D104" t="str">
            <v>汉族</v>
          </cell>
          <cell r="E104" t="str">
            <v>文盲</v>
          </cell>
          <cell r="F104" t="str">
            <v>丧偶</v>
          </cell>
          <cell r="G104" t="str">
            <v>农业</v>
          </cell>
        </row>
        <row r="104">
          <cell r="I104" t="str">
            <v>13792960086</v>
          </cell>
          <cell r="J104" t="str">
            <v>百节镇</v>
          </cell>
          <cell r="K104" t="str">
            <v>梯岩村</v>
          </cell>
          <cell r="L104" t="str">
            <v>四川省达州市达川区百节镇梯岩村４组２６号</v>
          </cell>
          <cell r="M104" t="str">
            <v>四川省达县百节镇梯岩村４组２６号</v>
          </cell>
        </row>
        <row r="104">
          <cell r="R104" t="str">
            <v>51302119281214086344</v>
          </cell>
          <cell r="S104" t="str">
            <v>肢体</v>
          </cell>
          <cell r="T104" t="str">
            <v>四级</v>
          </cell>
          <cell r="U104" t="str">
            <v>肢体四级;</v>
          </cell>
        </row>
        <row r="105">
          <cell r="B105" t="str">
            <v>513021195607130862</v>
          </cell>
          <cell r="C105" t="str">
            <v>女</v>
          </cell>
          <cell r="D105" t="str">
            <v>汉族</v>
          </cell>
          <cell r="E105" t="str">
            <v>小学</v>
          </cell>
          <cell r="F105" t="str">
            <v>丧偶</v>
          </cell>
          <cell r="G105" t="str">
            <v>农业</v>
          </cell>
        </row>
        <row r="105">
          <cell r="I105" t="str">
            <v>18781855259</v>
          </cell>
          <cell r="J105" t="str">
            <v>百节镇</v>
          </cell>
          <cell r="K105" t="str">
            <v>梯岩村</v>
          </cell>
          <cell r="L105" t="str">
            <v>四川省达州市达川区百节镇梯岩村８组１７号</v>
          </cell>
          <cell r="M105" t="str">
            <v>四川省达县百节镇梯岩村８组１７号</v>
          </cell>
        </row>
        <row r="105">
          <cell r="R105" t="str">
            <v>51302119560713086242</v>
          </cell>
          <cell r="S105" t="str">
            <v>肢体</v>
          </cell>
          <cell r="T105" t="str">
            <v>二级</v>
          </cell>
          <cell r="U105" t="str">
            <v>肢体二级;</v>
          </cell>
        </row>
        <row r="106">
          <cell r="B106" t="str">
            <v>513021198606260626</v>
          </cell>
          <cell r="C106" t="str">
            <v>女</v>
          </cell>
          <cell r="D106" t="str">
            <v>汉族</v>
          </cell>
          <cell r="E106" t="str">
            <v>初中</v>
          </cell>
          <cell r="F106" t="str">
            <v>已婚</v>
          </cell>
          <cell r="G106" t="str">
            <v>农业</v>
          </cell>
        </row>
        <row r="106">
          <cell r="I106" t="str">
            <v>18781855259</v>
          </cell>
          <cell r="J106" t="str">
            <v>百节镇</v>
          </cell>
          <cell r="K106" t="str">
            <v>梯岩村</v>
          </cell>
          <cell r="L106" t="str">
            <v>四川省达州市达川区百节镇梯岩村８组１７号</v>
          </cell>
          <cell r="M106" t="str">
            <v>四川省达县百节镇梯岩村８组１７号</v>
          </cell>
        </row>
        <row r="106">
          <cell r="R106" t="str">
            <v>51302119860626062644</v>
          </cell>
          <cell r="S106" t="str">
            <v>肢体</v>
          </cell>
          <cell r="T106" t="str">
            <v>四级</v>
          </cell>
          <cell r="U106" t="str">
            <v>肢体四级;</v>
          </cell>
        </row>
        <row r="107">
          <cell r="B107" t="str">
            <v>513021198008242567</v>
          </cell>
          <cell r="C107" t="str">
            <v>女</v>
          </cell>
          <cell r="D107" t="str">
            <v>汉族</v>
          </cell>
          <cell r="E107" t="str">
            <v>初中</v>
          </cell>
          <cell r="F107" t="str">
            <v>未婚</v>
          </cell>
          <cell r="G107" t="str">
            <v>农业</v>
          </cell>
        </row>
        <row r="107">
          <cell r="I107" t="str">
            <v>18111791590</v>
          </cell>
          <cell r="J107" t="str">
            <v>百节镇</v>
          </cell>
          <cell r="K107" t="str">
            <v>梯岩村</v>
          </cell>
          <cell r="L107" t="str">
            <v>四川省达州市达川区百节镇梯岩村２组４０号</v>
          </cell>
          <cell r="M107" t="str">
            <v>四川省达州市达川区百节镇梯岩村２组４０号</v>
          </cell>
          <cell r="N107" t="str">
            <v>潘广安</v>
          </cell>
          <cell r="O107" t="str">
            <v>父母</v>
          </cell>
        </row>
        <row r="107">
          <cell r="Q107" t="str">
            <v>18111791590</v>
          </cell>
          <cell r="R107" t="str">
            <v>51302119800824256762</v>
          </cell>
          <cell r="S107" t="str">
            <v>精神</v>
          </cell>
          <cell r="T107" t="str">
            <v>二级</v>
          </cell>
          <cell r="U107" t="str">
            <v>精神二级;</v>
          </cell>
        </row>
        <row r="108">
          <cell r="B108" t="str">
            <v>513021198212292553</v>
          </cell>
          <cell r="C108" t="str">
            <v>男</v>
          </cell>
          <cell r="D108" t="str">
            <v>汉族</v>
          </cell>
          <cell r="E108" t="str">
            <v>初中</v>
          </cell>
          <cell r="F108" t="str">
            <v>未婚</v>
          </cell>
          <cell r="G108" t="str">
            <v>农业</v>
          </cell>
        </row>
        <row r="108">
          <cell r="I108" t="str">
            <v>18781894106</v>
          </cell>
          <cell r="J108" t="str">
            <v>百节镇</v>
          </cell>
          <cell r="K108" t="str">
            <v>梯岩村</v>
          </cell>
          <cell r="L108" t="str">
            <v>四川省达州市达川区马家乡东会村６组１６号</v>
          </cell>
          <cell r="M108" t="str">
            <v>四川省达县马家乡东会村６组１６号</v>
          </cell>
          <cell r="N108" t="str">
            <v>陈才芬</v>
          </cell>
          <cell r="O108" t="str">
            <v>父母</v>
          </cell>
        </row>
        <row r="108">
          <cell r="Q108" t="str">
            <v>18781894106</v>
          </cell>
          <cell r="R108" t="str">
            <v>51302119821229255354</v>
          </cell>
          <cell r="S108" t="str">
            <v>智力</v>
          </cell>
          <cell r="T108" t="str">
            <v>四级</v>
          </cell>
          <cell r="U108" t="str">
            <v>智力四级;</v>
          </cell>
        </row>
        <row r="109">
          <cell r="B109" t="str">
            <v>513021195406290878</v>
          </cell>
          <cell r="C109" t="str">
            <v>男</v>
          </cell>
          <cell r="D109" t="str">
            <v>汉族</v>
          </cell>
          <cell r="E109" t="str">
            <v>初中</v>
          </cell>
          <cell r="F109" t="str">
            <v>已婚</v>
          </cell>
          <cell r="G109" t="str">
            <v>农业</v>
          </cell>
        </row>
        <row r="109">
          <cell r="I109" t="str">
            <v>18284631006</v>
          </cell>
          <cell r="J109" t="str">
            <v>百节镇</v>
          </cell>
          <cell r="K109" t="str">
            <v>梯岩村</v>
          </cell>
          <cell r="L109" t="str">
            <v>四川省达州市达川区百节镇梯岩村８组１号</v>
          </cell>
          <cell r="M109" t="str">
            <v>四川省达县百节镇梯岩村８组１号</v>
          </cell>
        </row>
        <row r="109">
          <cell r="R109" t="str">
            <v>51302119540629087813</v>
          </cell>
          <cell r="S109" t="str">
            <v>视力</v>
          </cell>
          <cell r="T109" t="str">
            <v>三级</v>
          </cell>
          <cell r="U109" t="str">
            <v>视力三级;</v>
          </cell>
        </row>
        <row r="110">
          <cell r="B110" t="str">
            <v>513021194709250879</v>
          </cell>
          <cell r="C110" t="str">
            <v>男</v>
          </cell>
          <cell r="D110" t="str">
            <v>汉族</v>
          </cell>
          <cell r="E110" t="str">
            <v>小学</v>
          </cell>
          <cell r="F110" t="str">
            <v>已婚</v>
          </cell>
          <cell r="G110" t="str">
            <v>农业</v>
          </cell>
        </row>
        <row r="110">
          <cell r="I110" t="str">
            <v>13698111221</v>
          </cell>
          <cell r="J110" t="str">
            <v>百节镇</v>
          </cell>
          <cell r="K110" t="str">
            <v>梯岩村</v>
          </cell>
          <cell r="L110" t="str">
            <v>四川省达州市达川区百节镇梯岩村２组６２号</v>
          </cell>
          <cell r="M110" t="str">
            <v>四川省达县百节镇梯岩村２组６２号</v>
          </cell>
        </row>
        <row r="110">
          <cell r="R110" t="str">
            <v>51302119470925087914</v>
          </cell>
          <cell r="S110" t="str">
            <v>视力</v>
          </cell>
          <cell r="T110" t="str">
            <v>四级</v>
          </cell>
          <cell r="U110" t="str">
            <v>视力四级;</v>
          </cell>
        </row>
        <row r="111">
          <cell r="B111" t="str">
            <v>511721200709044690</v>
          </cell>
          <cell r="C111" t="str">
            <v>男</v>
          </cell>
          <cell r="D111" t="str">
            <v>汉族</v>
          </cell>
          <cell r="E111" t="str">
            <v>文盲</v>
          </cell>
          <cell r="F111" t="str">
            <v>未婚</v>
          </cell>
          <cell r="G111" t="str">
            <v>农业</v>
          </cell>
        </row>
        <row r="111">
          <cell r="I111" t="str">
            <v>15181881237</v>
          </cell>
          <cell r="J111" t="str">
            <v>百节镇</v>
          </cell>
          <cell r="K111" t="str">
            <v>梯岩村</v>
          </cell>
          <cell r="L111" t="str">
            <v>四川省达州市达川区百节镇梯岩村１组９号</v>
          </cell>
          <cell r="M111" t="str">
            <v>四川省达县百节镇梯岩村１组９号</v>
          </cell>
          <cell r="N111" t="str">
            <v>李仕彪</v>
          </cell>
          <cell r="O111" t="str">
            <v>父母</v>
          </cell>
        </row>
        <row r="111">
          <cell r="Q111" t="str">
            <v>15181881237</v>
          </cell>
          <cell r="R111" t="str">
            <v>51172120070904469052</v>
          </cell>
          <cell r="S111" t="str">
            <v>智力</v>
          </cell>
          <cell r="T111" t="str">
            <v>二级</v>
          </cell>
          <cell r="U111" t="str">
            <v>智力二级;</v>
          </cell>
        </row>
        <row r="112">
          <cell r="B112" t="str">
            <v>513021195708262557</v>
          </cell>
          <cell r="C112" t="str">
            <v>男</v>
          </cell>
          <cell r="D112" t="str">
            <v>汉族</v>
          </cell>
          <cell r="E112" t="str">
            <v>小学</v>
          </cell>
          <cell r="F112" t="str">
            <v>丧偶</v>
          </cell>
          <cell r="G112" t="str">
            <v>农业</v>
          </cell>
        </row>
        <row r="112">
          <cell r="I112" t="str">
            <v>15983857860</v>
          </cell>
          <cell r="J112" t="str">
            <v>百节镇</v>
          </cell>
          <cell r="K112" t="str">
            <v>梯岩村</v>
          </cell>
          <cell r="L112" t="str">
            <v>四川省达州市达川区马家乡东会村２组６４号</v>
          </cell>
          <cell r="M112" t="str">
            <v>四川省达县马家乡东会村２组６４号</v>
          </cell>
        </row>
        <row r="112">
          <cell r="R112" t="str">
            <v>51302119570826255723</v>
          </cell>
          <cell r="S112" t="str">
            <v>听力</v>
          </cell>
          <cell r="T112" t="str">
            <v>三级</v>
          </cell>
          <cell r="U112" t="str">
            <v>听力三级;</v>
          </cell>
        </row>
        <row r="113">
          <cell r="B113" t="str">
            <v>513021198106042550</v>
          </cell>
          <cell r="C113" t="str">
            <v>男</v>
          </cell>
          <cell r="D113" t="str">
            <v>汉族</v>
          </cell>
          <cell r="E113" t="str">
            <v>初中</v>
          </cell>
          <cell r="F113" t="str">
            <v>未婚</v>
          </cell>
          <cell r="G113" t="str">
            <v>农业</v>
          </cell>
        </row>
        <row r="113">
          <cell r="I113" t="str">
            <v>13281706075</v>
          </cell>
          <cell r="J113" t="str">
            <v>百节镇</v>
          </cell>
          <cell r="K113" t="str">
            <v>梯岩村</v>
          </cell>
          <cell r="L113" t="str">
            <v>四川省达州市达川区百节镇梯岩村１组２５号</v>
          </cell>
          <cell r="M113" t="str">
            <v>四川省达州市达川区百节镇梯岩村１组２５号</v>
          </cell>
          <cell r="N113" t="str">
            <v>潘光平</v>
          </cell>
          <cell r="O113" t="str">
            <v>父母</v>
          </cell>
        </row>
        <row r="113">
          <cell r="Q113" t="str">
            <v>13281706075</v>
          </cell>
          <cell r="R113" t="str">
            <v>51302119810604255062</v>
          </cell>
          <cell r="S113" t="str">
            <v>精神</v>
          </cell>
          <cell r="T113" t="str">
            <v>二级</v>
          </cell>
          <cell r="U113" t="str">
            <v>精神二级;</v>
          </cell>
        </row>
        <row r="114">
          <cell r="B114" t="str">
            <v>513021194508290874</v>
          </cell>
          <cell r="C114" t="str">
            <v>男</v>
          </cell>
          <cell r="D114" t="str">
            <v>汉族</v>
          </cell>
          <cell r="E114" t="str">
            <v>小学</v>
          </cell>
          <cell r="F114" t="str">
            <v>已婚</v>
          </cell>
          <cell r="G114" t="str">
            <v>农业</v>
          </cell>
        </row>
        <row r="114">
          <cell r="I114" t="str">
            <v>13795691730</v>
          </cell>
          <cell r="J114" t="str">
            <v>百节镇</v>
          </cell>
          <cell r="K114" t="str">
            <v>梯岩村</v>
          </cell>
          <cell r="L114" t="str">
            <v>四川省达州市达川区百节镇梯岩村１组４２号</v>
          </cell>
          <cell r="M114" t="str">
            <v>四川省达县百节镇梯岩村１组４２号</v>
          </cell>
        </row>
        <row r="114">
          <cell r="R114" t="str">
            <v>51302119450829087444</v>
          </cell>
          <cell r="S114" t="str">
            <v>肢体</v>
          </cell>
          <cell r="T114" t="str">
            <v>四级</v>
          </cell>
          <cell r="U114" t="str">
            <v>肢体四级;</v>
          </cell>
        </row>
        <row r="115">
          <cell r="B115" t="str">
            <v>513021195010060865</v>
          </cell>
          <cell r="C115" t="str">
            <v>女</v>
          </cell>
          <cell r="D115" t="str">
            <v>汉族</v>
          </cell>
          <cell r="E115" t="str">
            <v>小学</v>
          </cell>
          <cell r="F115" t="str">
            <v>丧偶</v>
          </cell>
          <cell r="G115" t="str">
            <v>农业</v>
          </cell>
        </row>
        <row r="115">
          <cell r="I115" t="str">
            <v>15983884479</v>
          </cell>
          <cell r="J115" t="str">
            <v>百节镇</v>
          </cell>
          <cell r="K115" t="str">
            <v>梯岩村</v>
          </cell>
          <cell r="L115" t="str">
            <v>四川省达州市达川区百节镇梯岩村１组１１号</v>
          </cell>
          <cell r="M115" t="str">
            <v>四川省达县百节镇梯岩村１组１１号</v>
          </cell>
        </row>
        <row r="115">
          <cell r="R115" t="str">
            <v>51302119501006086543</v>
          </cell>
          <cell r="S115" t="str">
            <v>肢体</v>
          </cell>
          <cell r="T115" t="str">
            <v>三级</v>
          </cell>
          <cell r="U115" t="str">
            <v>肢体三级;</v>
          </cell>
        </row>
        <row r="116">
          <cell r="B116" t="str">
            <v>513021197305012595</v>
          </cell>
          <cell r="C116" t="str">
            <v>男</v>
          </cell>
          <cell r="D116" t="str">
            <v>汉族</v>
          </cell>
          <cell r="E116" t="str">
            <v>初中</v>
          </cell>
          <cell r="F116" t="str">
            <v>离婚</v>
          </cell>
          <cell r="G116" t="str">
            <v>农业</v>
          </cell>
        </row>
        <row r="116">
          <cell r="I116" t="str">
            <v>19983763937</v>
          </cell>
          <cell r="J116" t="str">
            <v>百节镇</v>
          </cell>
          <cell r="K116" t="str">
            <v>梯岩村</v>
          </cell>
          <cell r="L116" t="str">
            <v>四川省达州市达川区百节镇梯岩村４组２１号</v>
          </cell>
          <cell r="M116" t="str">
            <v>四川省达州市达川区百节镇梯岩村４组２１号</v>
          </cell>
        </row>
        <row r="116">
          <cell r="R116" t="str">
            <v>51302119730501259544B1</v>
          </cell>
          <cell r="S116" t="str">
            <v>肢体</v>
          </cell>
          <cell r="T116" t="str">
            <v>四级</v>
          </cell>
          <cell r="U116" t="str">
            <v>肢体四级;</v>
          </cell>
        </row>
        <row r="117">
          <cell r="B117" t="str">
            <v>513021197001152521</v>
          </cell>
          <cell r="C117" t="str">
            <v>女</v>
          </cell>
          <cell r="D117" t="str">
            <v>汉族</v>
          </cell>
          <cell r="E117" t="str">
            <v>初中</v>
          </cell>
          <cell r="F117" t="str">
            <v>已婚</v>
          </cell>
          <cell r="G117" t="str">
            <v>农业</v>
          </cell>
        </row>
        <row r="117">
          <cell r="I117" t="str">
            <v>18784836788</v>
          </cell>
          <cell r="J117" t="str">
            <v>百节镇</v>
          </cell>
          <cell r="K117" t="str">
            <v>梯岩村</v>
          </cell>
          <cell r="L117" t="str">
            <v>四川省达州市达川区百节镇梯岩村２组３号</v>
          </cell>
          <cell r="M117" t="str">
            <v>四川省达州市达川区百节镇梯岩村２组３号</v>
          </cell>
          <cell r="N117" t="str">
            <v>潘传中</v>
          </cell>
          <cell r="O117" t="str">
            <v>配偶</v>
          </cell>
        </row>
        <row r="117">
          <cell r="Q117" t="str">
            <v>18784836788</v>
          </cell>
          <cell r="R117" t="str">
            <v>51302119700115252163B1</v>
          </cell>
          <cell r="S117" t="str">
            <v>精神</v>
          </cell>
          <cell r="T117" t="str">
            <v>三级</v>
          </cell>
          <cell r="U117" t="str">
            <v>精神三级;</v>
          </cell>
        </row>
        <row r="118">
          <cell r="B118" t="str">
            <v>513021197707302173</v>
          </cell>
          <cell r="C118" t="str">
            <v>男</v>
          </cell>
          <cell r="D118" t="str">
            <v>汉族</v>
          </cell>
          <cell r="E118" t="str">
            <v>中专</v>
          </cell>
          <cell r="F118" t="str">
            <v>已婚</v>
          </cell>
          <cell r="G118" t="str">
            <v>农业</v>
          </cell>
        </row>
        <row r="118">
          <cell r="I118" t="str">
            <v>18782885779</v>
          </cell>
          <cell r="J118" t="str">
            <v>百节镇</v>
          </cell>
          <cell r="K118" t="str">
            <v>梯岩村</v>
          </cell>
          <cell r="L118" t="str">
            <v>四川省达州市达川区百节镇梯岩村１组３２号</v>
          </cell>
          <cell r="M118" t="str">
            <v>四川省达县百节镇梯岩村１组３２号</v>
          </cell>
        </row>
        <row r="118">
          <cell r="R118" t="str">
            <v>51302119770730217344</v>
          </cell>
          <cell r="S118" t="str">
            <v>肢体</v>
          </cell>
          <cell r="T118" t="str">
            <v>四级</v>
          </cell>
          <cell r="U118" t="str">
            <v>肢体四级;</v>
          </cell>
        </row>
        <row r="119">
          <cell r="B119" t="str">
            <v>51302119660616255X</v>
          </cell>
          <cell r="C119" t="str">
            <v>男</v>
          </cell>
          <cell r="D119" t="str">
            <v>汉族</v>
          </cell>
          <cell r="E119" t="str">
            <v>高中</v>
          </cell>
          <cell r="F119" t="str">
            <v>未婚</v>
          </cell>
          <cell r="G119" t="str">
            <v>农业</v>
          </cell>
        </row>
        <row r="119">
          <cell r="I119" t="str">
            <v>18982832651</v>
          </cell>
          <cell r="J119" t="str">
            <v>百节镇</v>
          </cell>
          <cell r="K119" t="str">
            <v>梯岩村</v>
          </cell>
          <cell r="L119" t="str">
            <v>四川省达州市达川区百节镇梯岩村６组９号</v>
          </cell>
          <cell r="M119" t="str">
            <v>四川省达州市达川区百节镇梯岩村６组９号</v>
          </cell>
          <cell r="N119" t="str">
            <v>胡杨春</v>
          </cell>
          <cell r="O119" t="str">
            <v>兄/弟/姐/妹</v>
          </cell>
        </row>
        <row r="119">
          <cell r="Q119" t="str">
            <v>18982832651</v>
          </cell>
          <cell r="R119" t="str">
            <v>51302119660616255X63</v>
          </cell>
          <cell r="S119" t="str">
            <v>精神</v>
          </cell>
          <cell r="T119" t="str">
            <v>三级</v>
          </cell>
          <cell r="U119" t="str">
            <v>精神三级;</v>
          </cell>
        </row>
        <row r="120">
          <cell r="B120" t="str">
            <v>513021194602280867</v>
          </cell>
          <cell r="C120" t="str">
            <v>女</v>
          </cell>
          <cell r="D120" t="str">
            <v>汉族</v>
          </cell>
          <cell r="E120" t="str">
            <v>小学</v>
          </cell>
          <cell r="F120" t="str">
            <v>已婚</v>
          </cell>
          <cell r="G120" t="str">
            <v>农业</v>
          </cell>
        </row>
        <row r="120">
          <cell r="I120" t="str">
            <v>15281800834</v>
          </cell>
          <cell r="J120" t="str">
            <v>百节镇</v>
          </cell>
          <cell r="K120" t="str">
            <v>梯岩村</v>
          </cell>
          <cell r="L120" t="str">
            <v>四川省达州市达川区百节镇梯岩村３组</v>
          </cell>
          <cell r="M120" t="str">
            <v>四川省达县百节镇梯岩村３组</v>
          </cell>
          <cell r="N120" t="str">
            <v>程光财</v>
          </cell>
          <cell r="O120" t="str">
            <v>配偶</v>
          </cell>
        </row>
        <row r="120">
          <cell r="Q120" t="str">
            <v>15281800834</v>
          </cell>
          <cell r="R120" t="str">
            <v>51302119460228086752</v>
          </cell>
          <cell r="S120" t="str">
            <v>智力</v>
          </cell>
          <cell r="T120" t="str">
            <v>二级</v>
          </cell>
          <cell r="U120" t="str">
            <v>智力二级;</v>
          </cell>
        </row>
        <row r="121">
          <cell r="B121" t="str">
            <v>513021195507252555</v>
          </cell>
          <cell r="C121" t="str">
            <v>男</v>
          </cell>
          <cell r="D121" t="str">
            <v>汉族</v>
          </cell>
          <cell r="E121" t="str">
            <v>小学</v>
          </cell>
          <cell r="F121" t="str">
            <v>已婚</v>
          </cell>
          <cell r="G121" t="str">
            <v>农业</v>
          </cell>
        </row>
        <row r="121">
          <cell r="I121" t="str">
            <v>13198313368</v>
          </cell>
          <cell r="J121" t="str">
            <v>百节镇</v>
          </cell>
          <cell r="K121" t="str">
            <v>梯岩村</v>
          </cell>
          <cell r="L121" t="str">
            <v>四川省达州市达川区百节镇梯岩村２组１号</v>
          </cell>
          <cell r="M121" t="str">
            <v>四川省达州市达川区百节镇梯岩村２组１号</v>
          </cell>
        </row>
        <row r="121">
          <cell r="O121" t="str">
            <v>其他</v>
          </cell>
        </row>
        <row r="121">
          <cell r="R121" t="str">
            <v>51302119550725255543</v>
          </cell>
          <cell r="S121" t="str">
            <v>肢体</v>
          </cell>
          <cell r="T121" t="str">
            <v>三级</v>
          </cell>
          <cell r="U121" t="str">
            <v>肢体三级;</v>
          </cell>
        </row>
        <row r="122">
          <cell r="B122" t="str">
            <v>513021195409260869</v>
          </cell>
          <cell r="C122" t="str">
            <v>女</v>
          </cell>
          <cell r="D122" t="str">
            <v>汉族</v>
          </cell>
          <cell r="E122" t="str">
            <v>小学</v>
          </cell>
          <cell r="F122" t="str">
            <v>已婚</v>
          </cell>
          <cell r="G122" t="str">
            <v>农业</v>
          </cell>
        </row>
        <row r="122">
          <cell r="I122" t="str">
            <v>00000000</v>
          </cell>
          <cell r="J122" t="str">
            <v>百节镇</v>
          </cell>
          <cell r="K122" t="str">
            <v>梯岩村</v>
          </cell>
          <cell r="L122" t="str">
            <v>四川省达县百节镇梯岩村１组３９号</v>
          </cell>
          <cell r="M122" t="str">
            <v>四川省达县百节镇梯岩村１组３９号</v>
          </cell>
        </row>
        <row r="122">
          <cell r="R122" t="str">
            <v>51302119540926086944</v>
          </cell>
          <cell r="S122" t="str">
            <v>肢体</v>
          </cell>
          <cell r="T122" t="str">
            <v>四级</v>
          </cell>
          <cell r="U122" t="str">
            <v>肢体四级;</v>
          </cell>
        </row>
        <row r="123">
          <cell r="B123" t="str">
            <v>513029194804131246</v>
          </cell>
          <cell r="C123" t="str">
            <v>女</v>
          </cell>
          <cell r="D123" t="str">
            <v>汉族</v>
          </cell>
          <cell r="E123" t="str">
            <v>文盲</v>
          </cell>
          <cell r="F123" t="str">
            <v>已婚</v>
          </cell>
          <cell r="G123" t="str">
            <v>农业</v>
          </cell>
        </row>
        <row r="123">
          <cell r="I123" t="str">
            <v>18398898225</v>
          </cell>
          <cell r="J123" t="str">
            <v>百节镇</v>
          </cell>
          <cell r="K123" t="str">
            <v>梯岩村</v>
          </cell>
          <cell r="L123" t="str">
            <v>四川省达州市达川区百节镇梯岩村５组３１号</v>
          </cell>
          <cell r="M123" t="str">
            <v>四川省达州市达川区百节镇梯岩村５组３１号</v>
          </cell>
          <cell r="N123" t="str">
            <v>贺兴全</v>
          </cell>
          <cell r="O123" t="str">
            <v>配偶</v>
          </cell>
        </row>
        <row r="123">
          <cell r="Q123" t="str">
            <v>18398898225</v>
          </cell>
          <cell r="R123" t="str">
            <v>51302919480413124653</v>
          </cell>
          <cell r="S123" t="str">
            <v>智力</v>
          </cell>
          <cell r="T123" t="str">
            <v>三级</v>
          </cell>
          <cell r="U123" t="str">
            <v>智力三级;</v>
          </cell>
        </row>
        <row r="124">
          <cell r="B124" t="str">
            <v>513021193602042506</v>
          </cell>
          <cell r="C124" t="str">
            <v>女</v>
          </cell>
          <cell r="D124" t="str">
            <v>汉族</v>
          </cell>
          <cell r="E124" t="str">
            <v>文盲</v>
          </cell>
          <cell r="F124" t="str">
            <v>丧偶</v>
          </cell>
          <cell r="G124" t="str">
            <v>农业</v>
          </cell>
        </row>
        <row r="124">
          <cell r="I124" t="str">
            <v>13108183088</v>
          </cell>
          <cell r="J124" t="str">
            <v>百节镇</v>
          </cell>
          <cell r="K124" t="str">
            <v>梯岩村</v>
          </cell>
          <cell r="L124" t="str">
            <v>四川省达州市达川区马家乡东会村７组１４号</v>
          </cell>
          <cell r="M124" t="str">
            <v>四川省达州市达川区马家乡东会村７组１４号</v>
          </cell>
        </row>
        <row r="124">
          <cell r="R124" t="str">
            <v>51302119360204250611</v>
          </cell>
          <cell r="S124" t="str">
            <v>视力</v>
          </cell>
          <cell r="T124" t="str">
            <v>一级</v>
          </cell>
          <cell r="U124" t="str">
            <v>视力一级;</v>
          </cell>
        </row>
        <row r="125">
          <cell r="B125" t="str">
            <v>513021197105172551</v>
          </cell>
          <cell r="C125" t="str">
            <v>男</v>
          </cell>
          <cell r="D125" t="str">
            <v>汉族</v>
          </cell>
          <cell r="E125" t="str">
            <v>文盲</v>
          </cell>
          <cell r="F125" t="str">
            <v>未婚</v>
          </cell>
          <cell r="G125" t="str">
            <v>农业</v>
          </cell>
        </row>
        <row r="125">
          <cell r="J125" t="str">
            <v>百节镇</v>
          </cell>
          <cell r="K125" t="str">
            <v>梯岩村</v>
          </cell>
          <cell r="L125" t="str">
            <v>四川省达县马家乡东会村５组４号</v>
          </cell>
          <cell r="M125" t="str">
            <v>四川省达县马家乡东会村５组４号</v>
          </cell>
          <cell r="N125" t="str">
            <v>何中华</v>
          </cell>
          <cell r="O125" t="str">
            <v>父母</v>
          </cell>
        </row>
        <row r="125">
          <cell r="Q125" t="str">
            <v>13882840530</v>
          </cell>
          <cell r="R125" t="str">
            <v>51302119710517255152</v>
          </cell>
          <cell r="S125" t="str">
            <v>智力</v>
          </cell>
          <cell r="T125" t="str">
            <v>二级</v>
          </cell>
          <cell r="U125" t="str">
            <v>智力二级;</v>
          </cell>
        </row>
        <row r="126">
          <cell r="B126" t="str">
            <v>513021196705190871</v>
          </cell>
          <cell r="C126" t="str">
            <v>男</v>
          </cell>
          <cell r="D126" t="str">
            <v>汉族</v>
          </cell>
          <cell r="E126" t="str">
            <v>小学</v>
          </cell>
          <cell r="F126" t="str">
            <v>未婚</v>
          </cell>
          <cell r="G126" t="str">
            <v>农业</v>
          </cell>
        </row>
        <row r="126">
          <cell r="I126" t="str">
            <v>00000000</v>
          </cell>
          <cell r="J126" t="str">
            <v>百节镇</v>
          </cell>
          <cell r="K126" t="str">
            <v>梯岩村</v>
          </cell>
          <cell r="L126" t="str">
            <v>四川省达县百节镇梯岩村５组５０号</v>
          </cell>
          <cell r="M126" t="str">
            <v>四川省达县百节镇梯岩村５组５０号</v>
          </cell>
        </row>
        <row r="126">
          <cell r="R126" t="str">
            <v>51302119670519087144</v>
          </cell>
          <cell r="S126" t="str">
            <v>肢体</v>
          </cell>
          <cell r="T126" t="str">
            <v>四级</v>
          </cell>
          <cell r="U126" t="str">
            <v>肢体四级;</v>
          </cell>
        </row>
        <row r="127">
          <cell r="B127" t="str">
            <v>51302119570115086X</v>
          </cell>
          <cell r="C127" t="str">
            <v>女</v>
          </cell>
          <cell r="D127" t="str">
            <v>汉族</v>
          </cell>
          <cell r="E127" t="str">
            <v>小学</v>
          </cell>
          <cell r="F127" t="str">
            <v>已婚</v>
          </cell>
          <cell r="G127" t="str">
            <v>农业</v>
          </cell>
        </row>
        <row r="127">
          <cell r="I127" t="str">
            <v>13508257027</v>
          </cell>
          <cell r="J127" t="str">
            <v>百节镇</v>
          </cell>
          <cell r="K127" t="str">
            <v>梯岩村</v>
          </cell>
          <cell r="L127" t="str">
            <v>四川省达州市达川区百节镇梯岩村8组11号</v>
          </cell>
          <cell r="M127" t="str">
            <v>四川省达州市达川区百节镇梯岩村8组11号</v>
          </cell>
        </row>
        <row r="127">
          <cell r="R127" t="str">
            <v>51302119570115086X44</v>
          </cell>
          <cell r="S127" t="str">
            <v>肢体</v>
          </cell>
          <cell r="T127" t="str">
            <v>四级</v>
          </cell>
          <cell r="U127" t="str">
            <v>肢体四级;</v>
          </cell>
        </row>
        <row r="128">
          <cell r="B128" t="str">
            <v>513021196012222551</v>
          </cell>
          <cell r="C128" t="str">
            <v>男</v>
          </cell>
          <cell r="D128" t="str">
            <v>汉族</v>
          </cell>
          <cell r="E128" t="str">
            <v>初中</v>
          </cell>
          <cell r="F128" t="str">
            <v>已婚</v>
          </cell>
          <cell r="G128" t="str">
            <v>农业</v>
          </cell>
        </row>
        <row r="128">
          <cell r="I128" t="str">
            <v>18282274906</v>
          </cell>
          <cell r="J128" t="str">
            <v>百节镇</v>
          </cell>
          <cell r="K128" t="str">
            <v>梯岩村</v>
          </cell>
          <cell r="L128" t="str">
            <v>四川省达州市达川区马家乡东会村１组２８号</v>
          </cell>
          <cell r="M128" t="str">
            <v>四川省达县马家乡东会村１组２８号</v>
          </cell>
        </row>
        <row r="128">
          <cell r="R128" t="str">
            <v>51302119601222255143</v>
          </cell>
          <cell r="S128" t="str">
            <v>肢体</v>
          </cell>
          <cell r="T128" t="str">
            <v>三级</v>
          </cell>
          <cell r="U128" t="str">
            <v>肢体三级;</v>
          </cell>
        </row>
        <row r="129">
          <cell r="B129" t="str">
            <v>511721200508024706</v>
          </cell>
          <cell r="C129" t="str">
            <v>女</v>
          </cell>
          <cell r="D129" t="str">
            <v>汉族</v>
          </cell>
          <cell r="E129" t="str">
            <v>文盲</v>
          </cell>
          <cell r="F129" t="str">
            <v>未婚</v>
          </cell>
          <cell r="G129" t="str">
            <v>农业</v>
          </cell>
        </row>
        <row r="129">
          <cell r="I129" t="str">
            <v>13711905411</v>
          </cell>
          <cell r="J129" t="str">
            <v>百节镇</v>
          </cell>
          <cell r="K129" t="str">
            <v>梯岩村</v>
          </cell>
          <cell r="L129" t="str">
            <v>四川省达州市达川区百节镇梯岩村3组24号</v>
          </cell>
          <cell r="M129" t="str">
            <v>四川省达州市达川区百节镇梯岩村3组24号</v>
          </cell>
          <cell r="N129" t="str">
            <v>陈洪玲</v>
          </cell>
          <cell r="O129" t="str">
            <v>父母</v>
          </cell>
        </row>
        <row r="129">
          <cell r="Q129" t="str">
            <v>13711905411</v>
          </cell>
          <cell r="R129" t="str">
            <v>51172120050802470644</v>
          </cell>
          <cell r="S129" t="str">
            <v>肢体</v>
          </cell>
          <cell r="T129" t="str">
            <v>四级</v>
          </cell>
          <cell r="U129" t="str">
            <v>肢体四级;</v>
          </cell>
        </row>
        <row r="130">
          <cell r="B130" t="str">
            <v>513021192802150865</v>
          </cell>
          <cell r="C130" t="str">
            <v>女</v>
          </cell>
          <cell r="D130" t="str">
            <v>汉族</v>
          </cell>
          <cell r="E130" t="str">
            <v>小学</v>
          </cell>
          <cell r="F130" t="str">
            <v>已婚</v>
          </cell>
          <cell r="G130" t="str">
            <v>农业</v>
          </cell>
        </row>
        <row r="130">
          <cell r="I130" t="str">
            <v>18781830382</v>
          </cell>
          <cell r="J130" t="str">
            <v>百节镇</v>
          </cell>
          <cell r="K130" t="str">
            <v>梯岩村</v>
          </cell>
          <cell r="L130" t="str">
            <v>四川省达州市达川区百节镇梯岩村３组４５号</v>
          </cell>
          <cell r="M130" t="str">
            <v>四川省达县百节镇梯岩村３组４５号</v>
          </cell>
        </row>
        <row r="130">
          <cell r="R130" t="str">
            <v>51302119280215086521</v>
          </cell>
          <cell r="S130" t="str">
            <v>听力</v>
          </cell>
          <cell r="T130" t="str">
            <v>一级</v>
          </cell>
          <cell r="U130" t="str">
            <v>听力一级;</v>
          </cell>
        </row>
        <row r="131">
          <cell r="B131" t="str">
            <v>513021198903172200</v>
          </cell>
          <cell r="C131" t="str">
            <v>女</v>
          </cell>
          <cell r="D131" t="str">
            <v>汉族</v>
          </cell>
          <cell r="E131" t="str">
            <v>初中</v>
          </cell>
          <cell r="F131" t="str">
            <v>已婚</v>
          </cell>
          <cell r="G131" t="str">
            <v>农业</v>
          </cell>
        </row>
        <row r="131">
          <cell r="I131" t="str">
            <v>18282290287</v>
          </cell>
          <cell r="J131" t="str">
            <v>百节镇</v>
          </cell>
          <cell r="K131" t="str">
            <v>梯岩村</v>
          </cell>
          <cell r="L131" t="str">
            <v>四川省达州市达川区百节镇梯岩村６组２２号</v>
          </cell>
          <cell r="M131" t="str">
            <v>四川省达县百节镇梯岩村６组２２号</v>
          </cell>
          <cell r="N131" t="str">
            <v>朱方清</v>
          </cell>
          <cell r="O131" t="str">
            <v>父母</v>
          </cell>
        </row>
        <row r="131">
          <cell r="Q131" t="str">
            <v>18282290287</v>
          </cell>
          <cell r="R131" t="str">
            <v>51302119890317220063</v>
          </cell>
          <cell r="S131" t="str">
            <v>精神</v>
          </cell>
          <cell r="T131" t="str">
            <v>三级</v>
          </cell>
          <cell r="U131" t="str">
            <v>精神三级;</v>
          </cell>
        </row>
        <row r="132">
          <cell r="B132" t="str">
            <v>513021195009222556</v>
          </cell>
          <cell r="C132" t="str">
            <v>男</v>
          </cell>
          <cell r="D132" t="str">
            <v>汉族</v>
          </cell>
          <cell r="E132" t="str">
            <v>小学</v>
          </cell>
          <cell r="F132" t="str">
            <v>已婚</v>
          </cell>
          <cell r="G132" t="str">
            <v>农业</v>
          </cell>
        </row>
        <row r="132">
          <cell r="I132" t="str">
            <v>0000000</v>
          </cell>
          <cell r="J132" t="str">
            <v>百节镇</v>
          </cell>
          <cell r="K132" t="str">
            <v>梯岩村</v>
          </cell>
          <cell r="L132" t="str">
            <v>四川省达县马家乡东会村２组６３号</v>
          </cell>
          <cell r="M132" t="str">
            <v>四川省达县马家乡东会村２组６３号</v>
          </cell>
        </row>
        <row r="132">
          <cell r="R132" t="str">
            <v>51302119500922255614</v>
          </cell>
          <cell r="S132" t="str">
            <v>视力</v>
          </cell>
          <cell r="T132" t="str">
            <v>四级</v>
          </cell>
          <cell r="U132" t="str">
            <v>视力四级;</v>
          </cell>
        </row>
        <row r="133">
          <cell r="B133" t="str">
            <v>513021197406140879</v>
          </cell>
          <cell r="C133" t="str">
            <v>男</v>
          </cell>
          <cell r="D133" t="str">
            <v>汉族</v>
          </cell>
          <cell r="E133" t="str">
            <v>高中</v>
          </cell>
          <cell r="F133" t="str">
            <v>已婚</v>
          </cell>
          <cell r="G133" t="str">
            <v>农业</v>
          </cell>
        </row>
        <row r="133">
          <cell r="I133" t="str">
            <v>13981456777</v>
          </cell>
          <cell r="J133" t="str">
            <v>百节镇</v>
          </cell>
          <cell r="K133" t="str">
            <v>梯岩村</v>
          </cell>
          <cell r="L133" t="str">
            <v>四川省达县百节镇梯岩村3组２３号</v>
          </cell>
          <cell r="M133" t="str">
            <v>四川省达县百节镇梯岩村3组２３号</v>
          </cell>
          <cell r="N133" t="str">
            <v>李盛琼</v>
          </cell>
          <cell r="O133" t="str">
            <v>配偶</v>
          </cell>
        </row>
        <row r="133">
          <cell r="Q133" t="str">
            <v>13981456777</v>
          </cell>
          <cell r="R133" t="str">
            <v>51302119740614087953</v>
          </cell>
          <cell r="S133" t="str">
            <v>智力</v>
          </cell>
          <cell r="T133" t="str">
            <v>三级</v>
          </cell>
          <cell r="U133" t="str">
            <v>智力三级;</v>
          </cell>
        </row>
        <row r="134">
          <cell r="B134" t="str">
            <v>513021196702162576</v>
          </cell>
          <cell r="C134" t="str">
            <v>男</v>
          </cell>
          <cell r="D134" t="str">
            <v>汉族</v>
          </cell>
          <cell r="E134" t="str">
            <v>小学</v>
          </cell>
          <cell r="F134" t="str">
            <v>未婚</v>
          </cell>
          <cell r="G134" t="str">
            <v>农业</v>
          </cell>
        </row>
        <row r="134">
          <cell r="I134" t="str">
            <v>17070349507</v>
          </cell>
          <cell r="J134" t="str">
            <v>百节镇</v>
          </cell>
          <cell r="K134" t="str">
            <v>梯岩村</v>
          </cell>
          <cell r="L134" t="str">
            <v>四川省达州市达川区百节镇梯岩村３组４８号</v>
          </cell>
          <cell r="M134" t="str">
            <v>四川省达州市达川区百节镇梯岩村３组４８号</v>
          </cell>
        </row>
        <row r="134">
          <cell r="R134" t="str">
            <v>51302119670216257622</v>
          </cell>
          <cell r="S134" t="str">
            <v>听力</v>
          </cell>
          <cell r="T134" t="str">
            <v>二级</v>
          </cell>
          <cell r="U134" t="str">
            <v>听力二级;</v>
          </cell>
        </row>
        <row r="135">
          <cell r="B135" t="str">
            <v>513021195406112553</v>
          </cell>
          <cell r="C135" t="str">
            <v>男</v>
          </cell>
          <cell r="D135" t="str">
            <v>汉族</v>
          </cell>
          <cell r="E135" t="str">
            <v>初中</v>
          </cell>
          <cell r="F135" t="str">
            <v>已婚</v>
          </cell>
          <cell r="G135" t="str">
            <v>农业</v>
          </cell>
        </row>
        <row r="135">
          <cell r="I135" t="str">
            <v>13281706075</v>
          </cell>
          <cell r="J135" t="str">
            <v>百节镇</v>
          </cell>
          <cell r="K135" t="str">
            <v>梯岩村</v>
          </cell>
          <cell r="L135" t="str">
            <v>四川省达州市达川区百节镇梯岩村１组２５号</v>
          </cell>
          <cell r="M135" t="str">
            <v>四川省达州市达川区百节镇梯岩村１组２５号</v>
          </cell>
        </row>
        <row r="135">
          <cell r="R135" t="str">
            <v>51302119540611255313</v>
          </cell>
          <cell r="S135" t="str">
            <v>视力</v>
          </cell>
          <cell r="T135" t="str">
            <v>三级</v>
          </cell>
          <cell r="U135" t="str">
            <v>视力三级;</v>
          </cell>
        </row>
        <row r="136">
          <cell r="B136" t="str">
            <v>513021196912042521</v>
          </cell>
          <cell r="C136" t="str">
            <v>女</v>
          </cell>
          <cell r="D136" t="str">
            <v>汉族</v>
          </cell>
          <cell r="E136" t="str">
            <v>小学</v>
          </cell>
          <cell r="F136" t="str">
            <v>已婚</v>
          </cell>
          <cell r="G136" t="str">
            <v>农业</v>
          </cell>
        </row>
        <row r="136">
          <cell r="I136" t="str">
            <v>18381904965</v>
          </cell>
          <cell r="J136" t="str">
            <v>百节镇</v>
          </cell>
          <cell r="K136" t="str">
            <v>梯岩村</v>
          </cell>
          <cell r="L136" t="str">
            <v>四川省达州市达川区百节镇梯岩村３组３０号</v>
          </cell>
          <cell r="M136" t="str">
            <v>四川省达州市达川区百节镇梯岩村３组３０号</v>
          </cell>
          <cell r="N136" t="str">
            <v>赵登贵</v>
          </cell>
          <cell r="O136" t="str">
            <v>配偶</v>
          </cell>
        </row>
        <row r="136">
          <cell r="Q136" t="str">
            <v>18381904965</v>
          </cell>
          <cell r="R136" t="str">
            <v>51302119691204252152</v>
          </cell>
          <cell r="S136" t="str">
            <v>智力</v>
          </cell>
          <cell r="T136" t="str">
            <v>二级</v>
          </cell>
          <cell r="U136" t="str">
            <v>智力二级;</v>
          </cell>
        </row>
        <row r="137">
          <cell r="B137" t="str">
            <v>513021193603072555</v>
          </cell>
          <cell r="C137" t="str">
            <v>男</v>
          </cell>
          <cell r="D137" t="str">
            <v>汉族</v>
          </cell>
          <cell r="E137" t="str">
            <v>小学</v>
          </cell>
          <cell r="F137" t="str">
            <v>已婚</v>
          </cell>
          <cell r="G137" t="str">
            <v>农业</v>
          </cell>
        </row>
        <row r="137">
          <cell r="I137" t="str">
            <v>13079032619</v>
          </cell>
          <cell r="J137" t="str">
            <v>百节镇</v>
          </cell>
          <cell r="K137" t="str">
            <v>梯岩村</v>
          </cell>
          <cell r="L137" t="str">
            <v>四川省达州市达川区马家乡东会村５组３８号</v>
          </cell>
          <cell r="M137" t="str">
            <v>四川省达县马家乡东会村５组３８号</v>
          </cell>
        </row>
        <row r="137">
          <cell r="R137" t="str">
            <v>51302119360307255511</v>
          </cell>
          <cell r="S137" t="str">
            <v>视力</v>
          </cell>
          <cell r="T137" t="str">
            <v>一级</v>
          </cell>
          <cell r="U137" t="str">
            <v>视力一级;</v>
          </cell>
        </row>
        <row r="138">
          <cell r="B138" t="str">
            <v>513021198203240874</v>
          </cell>
          <cell r="C138" t="str">
            <v>男</v>
          </cell>
          <cell r="D138" t="str">
            <v>汉族</v>
          </cell>
          <cell r="E138" t="str">
            <v>初中</v>
          </cell>
          <cell r="F138" t="str">
            <v>未婚</v>
          </cell>
          <cell r="G138" t="str">
            <v>农业</v>
          </cell>
        </row>
        <row r="138">
          <cell r="I138" t="str">
            <v>13350289880</v>
          </cell>
          <cell r="J138" t="str">
            <v>百节镇</v>
          </cell>
          <cell r="K138" t="str">
            <v>梯岩村</v>
          </cell>
          <cell r="L138" t="str">
            <v>四川省达州市达川区百节镇梯岩村４组２６号</v>
          </cell>
          <cell r="M138" t="str">
            <v>四川省达县百节镇梯岩村４组２６号</v>
          </cell>
        </row>
        <row r="138">
          <cell r="R138" t="str">
            <v>51302119820324087444</v>
          </cell>
          <cell r="S138" t="str">
            <v>肢体</v>
          </cell>
          <cell r="T138" t="str">
            <v>四级</v>
          </cell>
          <cell r="U138" t="str">
            <v>肢体四级;</v>
          </cell>
        </row>
        <row r="139">
          <cell r="B139" t="str">
            <v>513021195004020867</v>
          </cell>
          <cell r="C139" t="str">
            <v>女</v>
          </cell>
          <cell r="D139" t="str">
            <v>汉族</v>
          </cell>
          <cell r="E139" t="str">
            <v>小学</v>
          </cell>
          <cell r="F139" t="str">
            <v>已婚</v>
          </cell>
          <cell r="G139" t="str">
            <v>农业</v>
          </cell>
        </row>
        <row r="139">
          <cell r="I139" t="str">
            <v>15082864506</v>
          </cell>
          <cell r="J139" t="str">
            <v>百节镇</v>
          </cell>
          <cell r="K139" t="str">
            <v>梯岩村</v>
          </cell>
          <cell r="L139" t="str">
            <v>四川省达州市达川区百节镇梯岩村3组３号</v>
          </cell>
          <cell r="M139" t="str">
            <v>四川省达州市达川区百节镇梯岩村3组３号</v>
          </cell>
          <cell r="N139" t="str">
            <v>李仕建</v>
          </cell>
          <cell r="O139" t="str">
            <v>子</v>
          </cell>
        </row>
        <row r="139">
          <cell r="Q139" t="str">
            <v>13778338928</v>
          </cell>
          <cell r="R139" t="str">
            <v>51302119500402086712</v>
          </cell>
          <cell r="S139" t="str">
            <v>视力</v>
          </cell>
          <cell r="T139" t="str">
            <v>二级</v>
          </cell>
          <cell r="U139" t="str">
            <v>视力二级;</v>
          </cell>
        </row>
        <row r="140">
          <cell r="B140" t="str">
            <v>513021196912200868</v>
          </cell>
          <cell r="C140" t="str">
            <v>女</v>
          </cell>
          <cell r="D140" t="str">
            <v>汉族</v>
          </cell>
          <cell r="E140" t="str">
            <v>小学</v>
          </cell>
          <cell r="F140" t="str">
            <v>已婚</v>
          </cell>
          <cell r="G140" t="str">
            <v>农业</v>
          </cell>
        </row>
        <row r="140">
          <cell r="I140" t="str">
            <v>18481891169</v>
          </cell>
          <cell r="J140" t="str">
            <v>百节镇</v>
          </cell>
          <cell r="K140" t="str">
            <v>梯岩村</v>
          </cell>
          <cell r="L140" t="str">
            <v>四川省达州市达川区百节镇梯岩村３组２号</v>
          </cell>
          <cell r="M140" t="str">
            <v>四川省达县百节镇梯岩村３组２号</v>
          </cell>
          <cell r="N140" t="str">
            <v>赵继才</v>
          </cell>
          <cell r="O140" t="str">
            <v>配偶</v>
          </cell>
        </row>
        <row r="140">
          <cell r="Q140" t="str">
            <v>18481891169</v>
          </cell>
          <cell r="R140" t="str">
            <v>51302119691220086862</v>
          </cell>
          <cell r="S140" t="str">
            <v>精神</v>
          </cell>
          <cell r="T140" t="str">
            <v>二级</v>
          </cell>
          <cell r="U140" t="str">
            <v>精神二级;</v>
          </cell>
        </row>
        <row r="141">
          <cell r="B141" t="str">
            <v>513021193810092508</v>
          </cell>
          <cell r="C141" t="str">
            <v>女</v>
          </cell>
          <cell r="D141" t="str">
            <v>汉族</v>
          </cell>
          <cell r="E141" t="str">
            <v>文盲</v>
          </cell>
          <cell r="F141" t="str">
            <v>已婚</v>
          </cell>
          <cell r="G141" t="str">
            <v>农业</v>
          </cell>
        </row>
        <row r="141">
          <cell r="I141" t="str">
            <v>0000000</v>
          </cell>
          <cell r="J141" t="str">
            <v>百节镇</v>
          </cell>
          <cell r="K141" t="str">
            <v>梯岩村</v>
          </cell>
          <cell r="L141" t="str">
            <v>四川省达州市达川区马家乡东会村６组４号</v>
          </cell>
          <cell r="M141" t="str">
            <v>四川省达州市达川区马家乡东会村６组４号</v>
          </cell>
        </row>
        <row r="141">
          <cell r="R141" t="str">
            <v>51302119381009250843</v>
          </cell>
          <cell r="S141" t="str">
            <v>肢体</v>
          </cell>
          <cell r="T141" t="str">
            <v>三级</v>
          </cell>
          <cell r="U141" t="str">
            <v>肢体三级;</v>
          </cell>
        </row>
        <row r="142">
          <cell r="B142" t="str">
            <v>513021193306042501</v>
          </cell>
          <cell r="C142" t="str">
            <v>女</v>
          </cell>
          <cell r="D142" t="str">
            <v>汉族</v>
          </cell>
          <cell r="E142" t="str">
            <v>文盲</v>
          </cell>
          <cell r="F142" t="str">
            <v>已婚</v>
          </cell>
          <cell r="G142" t="str">
            <v>农业</v>
          </cell>
        </row>
        <row r="142">
          <cell r="I142" t="str">
            <v>15508208659</v>
          </cell>
          <cell r="J142" t="str">
            <v>百节镇</v>
          </cell>
          <cell r="K142" t="str">
            <v>梯岩村</v>
          </cell>
          <cell r="L142" t="str">
            <v>四川省达州市达川区百节镇梯岩村３组４２号</v>
          </cell>
          <cell r="M142" t="str">
            <v>四川省达州市达川区百节镇梯岩村３组４２号</v>
          </cell>
        </row>
        <row r="142">
          <cell r="R142" t="str">
            <v>51302119330604250143</v>
          </cell>
          <cell r="S142" t="str">
            <v>肢体</v>
          </cell>
          <cell r="T142" t="str">
            <v>三级</v>
          </cell>
          <cell r="U142" t="str">
            <v>肢体三级;</v>
          </cell>
        </row>
        <row r="143">
          <cell r="B143" t="str">
            <v>513021196701040892</v>
          </cell>
          <cell r="C143" t="str">
            <v>男</v>
          </cell>
          <cell r="D143" t="str">
            <v>汉族</v>
          </cell>
          <cell r="E143" t="str">
            <v>初中</v>
          </cell>
          <cell r="F143" t="str">
            <v>已婚</v>
          </cell>
          <cell r="G143" t="str">
            <v>农业</v>
          </cell>
        </row>
        <row r="143">
          <cell r="I143" t="str">
            <v>14781802692</v>
          </cell>
          <cell r="J143" t="str">
            <v>百节镇</v>
          </cell>
          <cell r="K143" t="str">
            <v>梯岩村</v>
          </cell>
          <cell r="L143" t="str">
            <v>四川省达州市达川区百节镇梯岩村７组１９号</v>
          </cell>
          <cell r="M143" t="str">
            <v>四川省达县百节镇梯岩村７组１９号</v>
          </cell>
        </row>
        <row r="143">
          <cell r="R143" t="str">
            <v>51302119670104089244</v>
          </cell>
          <cell r="S143" t="str">
            <v>肢体</v>
          </cell>
          <cell r="T143" t="str">
            <v>四级</v>
          </cell>
          <cell r="U143" t="str">
            <v>肢体四级;</v>
          </cell>
        </row>
        <row r="144">
          <cell r="B144" t="str">
            <v>513021196902020628</v>
          </cell>
          <cell r="C144" t="str">
            <v>女</v>
          </cell>
          <cell r="D144" t="str">
            <v>汉族</v>
          </cell>
          <cell r="E144" t="str">
            <v>小学</v>
          </cell>
          <cell r="F144" t="str">
            <v>已婚</v>
          </cell>
          <cell r="G144" t="str">
            <v>农业</v>
          </cell>
        </row>
        <row r="144">
          <cell r="I144" t="str">
            <v>0000000000</v>
          </cell>
          <cell r="J144" t="str">
            <v>百节镇</v>
          </cell>
          <cell r="K144" t="str">
            <v>梯岩村</v>
          </cell>
          <cell r="L144" t="str">
            <v>四川省达州市达川区百节镇梯岩村4组</v>
          </cell>
          <cell r="M144" t="str">
            <v>四川省达州市达川区百节镇梯岩村4组</v>
          </cell>
        </row>
        <row r="144">
          <cell r="R144" t="str">
            <v>51302119690202062872</v>
          </cell>
          <cell r="S144" t="str">
            <v>多重</v>
          </cell>
          <cell r="T144" t="str">
            <v>二级</v>
          </cell>
          <cell r="U144" t="str">
            <v>听力二级;言语二级;</v>
          </cell>
        </row>
        <row r="145">
          <cell r="B145" t="str">
            <v>513021195412122504</v>
          </cell>
          <cell r="C145" t="str">
            <v>女</v>
          </cell>
          <cell r="D145" t="str">
            <v>汉族</v>
          </cell>
          <cell r="E145" t="str">
            <v>小学</v>
          </cell>
          <cell r="F145" t="str">
            <v>已婚</v>
          </cell>
          <cell r="G145" t="str">
            <v>农业</v>
          </cell>
        </row>
        <row r="145">
          <cell r="I145" t="str">
            <v>13508255433</v>
          </cell>
          <cell r="J145" t="str">
            <v>百节镇</v>
          </cell>
          <cell r="K145" t="str">
            <v>梯岩村</v>
          </cell>
          <cell r="L145" t="str">
            <v>四川省达州市达川区百节镇梯岩村４组３９号</v>
          </cell>
          <cell r="M145" t="str">
            <v>四川省达州市达川区百节镇梯岩村４组３９号</v>
          </cell>
        </row>
        <row r="145">
          <cell r="R145" t="str">
            <v>51302119541212250444</v>
          </cell>
          <cell r="S145" t="str">
            <v>肢体</v>
          </cell>
          <cell r="T145" t="str">
            <v>四级</v>
          </cell>
          <cell r="U145" t="str">
            <v>肢体四级;</v>
          </cell>
        </row>
        <row r="146">
          <cell r="B146" t="str">
            <v>511721200107065144</v>
          </cell>
          <cell r="C146" t="str">
            <v>女</v>
          </cell>
          <cell r="D146" t="str">
            <v>汉族</v>
          </cell>
          <cell r="E146" t="str">
            <v>初中</v>
          </cell>
          <cell r="F146" t="str">
            <v>未婚</v>
          </cell>
          <cell r="G146" t="str">
            <v>农业</v>
          </cell>
        </row>
        <row r="146">
          <cell r="I146" t="str">
            <v>15882964326</v>
          </cell>
          <cell r="J146" t="str">
            <v>百节镇</v>
          </cell>
          <cell r="K146" t="str">
            <v>梯岩村</v>
          </cell>
          <cell r="L146" t="str">
            <v>四川省达州市达川区马家乡东会村２组９号</v>
          </cell>
          <cell r="M146" t="str">
            <v>四川省达县马家乡东会村２组９号</v>
          </cell>
          <cell r="N146" t="str">
            <v>潘传德</v>
          </cell>
          <cell r="O146" t="str">
            <v>父母</v>
          </cell>
        </row>
        <row r="146">
          <cell r="Q146" t="str">
            <v>15882964326</v>
          </cell>
          <cell r="R146" t="str">
            <v>51172120010706514444</v>
          </cell>
          <cell r="S146" t="str">
            <v>肢体</v>
          </cell>
          <cell r="T146" t="str">
            <v>四级</v>
          </cell>
          <cell r="U146" t="str">
            <v>肢体四级;</v>
          </cell>
        </row>
        <row r="147">
          <cell r="B147" t="str">
            <v>513021194409262552</v>
          </cell>
          <cell r="C147" t="str">
            <v>男</v>
          </cell>
          <cell r="D147" t="str">
            <v>汉族</v>
          </cell>
          <cell r="E147" t="str">
            <v>小学</v>
          </cell>
          <cell r="F147" t="str">
            <v>已婚</v>
          </cell>
          <cell r="G147" t="str">
            <v>农业</v>
          </cell>
        </row>
        <row r="147">
          <cell r="I147" t="str">
            <v>16525981358</v>
          </cell>
          <cell r="J147" t="str">
            <v>百节镇</v>
          </cell>
          <cell r="K147" t="str">
            <v>梯岩村</v>
          </cell>
          <cell r="L147" t="str">
            <v>四川省达州市达川区百节镇梯岩村８组１１号</v>
          </cell>
          <cell r="M147" t="str">
            <v>四川省达州市达川区百节镇梯岩村８组１１号</v>
          </cell>
        </row>
        <row r="147">
          <cell r="R147" t="str">
            <v>51302119440926255244</v>
          </cell>
          <cell r="S147" t="str">
            <v>肢体</v>
          </cell>
          <cell r="T147" t="str">
            <v>四级</v>
          </cell>
          <cell r="U147" t="str">
            <v>肢体四级;</v>
          </cell>
        </row>
        <row r="148">
          <cell r="B148" t="str">
            <v>513021195310152550</v>
          </cell>
          <cell r="C148" t="str">
            <v>男</v>
          </cell>
          <cell r="D148" t="str">
            <v>汉族</v>
          </cell>
          <cell r="E148" t="str">
            <v>初中</v>
          </cell>
          <cell r="F148" t="str">
            <v>已婚</v>
          </cell>
          <cell r="G148" t="str">
            <v>农业</v>
          </cell>
        </row>
        <row r="148">
          <cell r="I148" t="str">
            <v>15508209183</v>
          </cell>
          <cell r="J148" t="str">
            <v>百节镇</v>
          </cell>
          <cell r="K148" t="str">
            <v>梯岩村</v>
          </cell>
          <cell r="L148" t="str">
            <v>四川省达州市达川区百节镇梯岩村２组５１号</v>
          </cell>
          <cell r="M148" t="str">
            <v>四川省达州市达川区百节镇梯岩村２组５１号</v>
          </cell>
        </row>
        <row r="148">
          <cell r="R148" t="str">
            <v>51302119531015255073</v>
          </cell>
          <cell r="S148" t="str">
            <v>多重</v>
          </cell>
          <cell r="T148" t="str">
            <v>三级</v>
          </cell>
          <cell r="U148" t="str">
            <v>言语三级;肢体四级;</v>
          </cell>
        </row>
        <row r="149">
          <cell r="B149" t="str">
            <v>513021196412140870</v>
          </cell>
          <cell r="C149" t="str">
            <v>男</v>
          </cell>
          <cell r="D149" t="str">
            <v>汉族</v>
          </cell>
          <cell r="E149" t="str">
            <v>小学</v>
          </cell>
          <cell r="F149" t="str">
            <v>未婚</v>
          </cell>
          <cell r="G149" t="str">
            <v>农业</v>
          </cell>
        </row>
        <row r="149">
          <cell r="I149" t="str">
            <v>0000000000</v>
          </cell>
          <cell r="J149" t="str">
            <v>百节镇</v>
          </cell>
          <cell r="K149" t="str">
            <v>梯岩村</v>
          </cell>
          <cell r="L149" t="str">
            <v>四川省达县百节镇梯岩村2组１４号</v>
          </cell>
          <cell r="M149" t="str">
            <v>四川省达县百节镇梯岩村2组１４号</v>
          </cell>
        </row>
        <row r="149">
          <cell r="R149" t="str">
            <v>51302119641214087043</v>
          </cell>
          <cell r="S149" t="str">
            <v>肢体</v>
          </cell>
          <cell r="T149" t="str">
            <v>三级</v>
          </cell>
          <cell r="U149" t="str">
            <v>肢体三级;</v>
          </cell>
        </row>
        <row r="150">
          <cell r="B150" t="str">
            <v>513021196107262505</v>
          </cell>
          <cell r="C150" t="str">
            <v>女</v>
          </cell>
          <cell r="D150" t="str">
            <v>汉族</v>
          </cell>
          <cell r="E150" t="str">
            <v>小学</v>
          </cell>
          <cell r="F150" t="str">
            <v>已婚</v>
          </cell>
          <cell r="G150" t="str">
            <v>农业</v>
          </cell>
        </row>
        <row r="150">
          <cell r="I150" t="str">
            <v>15508208759</v>
          </cell>
          <cell r="J150" t="str">
            <v>百节镇</v>
          </cell>
          <cell r="K150" t="str">
            <v>梯岩村</v>
          </cell>
          <cell r="L150" t="str">
            <v>四川省达州市达川区百节镇梯岩村４组２８号</v>
          </cell>
          <cell r="M150" t="str">
            <v>四川省达州市达川区百节镇梯岩村４组２８号</v>
          </cell>
        </row>
        <row r="150">
          <cell r="R150" t="str">
            <v>51302119610726250544</v>
          </cell>
          <cell r="S150" t="str">
            <v>肢体</v>
          </cell>
          <cell r="T150" t="str">
            <v>四级</v>
          </cell>
          <cell r="U150" t="str">
            <v>肢体四级;</v>
          </cell>
        </row>
        <row r="151">
          <cell r="B151" t="str">
            <v>513021198401022501</v>
          </cell>
          <cell r="C151" t="str">
            <v>女</v>
          </cell>
          <cell r="D151" t="str">
            <v>汉族</v>
          </cell>
          <cell r="E151" t="str">
            <v>小学</v>
          </cell>
          <cell r="F151" t="str">
            <v>未婚</v>
          </cell>
          <cell r="G151" t="str">
            <v>农业</v>
          </cell>
        </row>
        <row r="151">
          <cell r="I151" t="str">
            <v>13628392538</v>
          </cell>
          <cell r="J151" t="str">
            <v>百节镇</v>
          </cell>
          <cell r="K151" t="str">
            <v>梯岩村</v>
          </cell>
          <cell r="L151" t="str">
            <v>四川省达州市达川区马家乡东会村2组1号</v>
          </cell>
          <cell r="M151" t="str">
            <v>四川省达州市达川区马家乡东会村2组1号</v>
          </cell>
        </row>
        <row r="151">
          <cell r="R151" t="str">
            <v>51302119840102250143</v>
          </cell>
          <cell r="S151" t="str">
            <v>肢体</v>
          </cell>
          <cell r="T151" t="str">
            <v>三级</v>
          </cell>
          <cell r="U151" t="str">
            <v>肢体三级;</v>
          </cell>
        </row>
        <row r="152">
          <cell r="B152" t="str">
            <v>513021193610021350</v>
          </cell>
          <cell r="C152" t="str">
            <v>男</v>
          </cell>
          <cell r="D152" t="str">
            <v>汉族</v>
          </cell>
          <cell r="E152" t="str">
            <v>小学</v>
          </cell>
          <cell r="F152" t="str">
            <v>已婚</v>
          </cell>
          <cell r="G152" t="str">
            <v>农业</v>
          </cell>
        </row>
        <row r="152">
          <cell r="I152" t="str">
            <v>13778339890</v>
          </cell>
          <cell r="J152" t="str">
            <v>百节镇</v>
          </cell>
          <cell r="K152" t="str">
            <v>梯岩村</v>
          </cell>
          <cell r="L152" t="str">
            <v>四川省达州市达川区马家乡东会村２组４４号</v>
          </cell>
          <cell r="M152" t="str">
            <v>四川省达县马家乡东会村２组４４号</v>
          </cell>
        </row>
        <row r="152">
          <cell r="R152" t="str">
            <v>51302119361002135044</v>
          </cell>
          <cell r="S152" t="str">
            <v>肢体</v>
          </cell>
          <cell r="T152" t="str">
            <v>四级</v>
          </cell>
          <cell r="U152" t="str">
            <v>肢体四级;</v>
          </cell>
        </row>
        <row r="153">
          <cell r="B153" t="str">
            <v>513021198010220877</v>
          </cell>
          <cell r="C153" t="str">
            <v>男</v>
          </cell>
          <cell r="D153" t="str">
            <v>汉族</v>
          </cell>
          <cell r="E153" t="str">
            <v>小学</v>
          </cell>
          <cell r="F153" t="str">
            <v>未婚</v>
          </cell>
          <cell r="G153" t="str">
            <v>农业</v>
          </cell>
        </row>
        <row r="153">
          <cell r="I153" t="str">
            <v>18780880678</v>
          </cell>
          <cell r="J153" t="str">
            <v>百节镇</v>
          </cell>
          <cell r="K153" t="str">
            <v>梯岩村</v>
          </cell>
          <cell r="L153" t="str">
            <v>四川省达州市达川区百节镇梯岩村８组２号</v>
          </cell>
          <cell r="M153" t="str">
            <v>四川省达县百节镇梯岩村８组２号</v>
          </cell>
          <cell r="N153" t="str">
            <v>杨长华</v>
          </cell>
          <cell r="O153" t="str">
            <v>父母</v>
          </cell>
        </row>
        <row r="153">
          <cell r="Q153" t="str">
            <v>18780880678</v>
          </cell>
          <cell r="R153" t="str">
            <v>51302119801022087762</v>
          </cell>
          <cell r="S153" t="str">
            <v>精神</v>
          </cell>
          <cell r="T153" t="str">
            <v>二级</v>
          </cell>
          <cell r="U153" t="str">
            <v>精神二级;</v>
          </cell>
        </row>
        <row r="154">
          <cell r="B154" t="str">
            <v>513021195107190885</v>
          </cell>
          <cell r="C154" t="str">
            <v>女</v>
          </cell>
          <cell r="D154" t="str">
            <v>汉族</v>
          </cell>
          <cell r="E154" t="str">
            <v>小学</v>
          </cell>
          <cell r="F154" t="str">
            <v>已婚</v>
          </cell>
          <cell r="G154" t="str">
            <v>农业</v>
          </cell>
        </row>
        <row r="154">
          <cell r="I154" t="str">
            <v>00000</v>
          </cell>
          <cell r="J154" t="str">
            <v>百节镇</v>
          </cell>
          <cell r="K154" t="str">
            <v>梯岩村</v>
          </cell>
          <cell r="L154" t="str">
            <v>四川省达县百节镇梯岩村３组２４号</v>
          </cell>
          <cell r="M154" t="str">
            <v>四川省达县百节镇梯岩村３组２４号</v>
          </cell>
        </row>
        <row r="154">
          <cell r="R154" t="str">
            <v>51302119510719088511</v>
          </cell>
          <cell r="S154" t="str">
            <v>视力</v>
          </cell>
          <cell r="T154" t="str">
            <v>一级</v>
          </cell>
          <cell r="U154" t="str">
            <v>视力一级;</v>
          </cell>
        </row>
        <row r="155">
          <cell r="B155" t="str">
            <v>513021194204302557</v>
          </cell>
          <cell r="C155" t="str">
            <v>男</v>
          </cell>
          <cell r="D155" t="str">
            <v>汉族</v>
          </cell>
          <cell r="E155" t="str">
            <v>文盲</v>
          </cell>
          <cell r="F155" t="str">
            <v>已婚</v>
          </cell>
          <cell r="G155" t="str">
            <v>农业</v>
          </cell>
        </row>
        <row r="155">
          <cell r="I155" t="str">
            <v>13981457105</v>
          </cell>
          <cell r="J155" t="str">
            <v>百节镇</v>
          </cell>
          <cell r="K155" t="str">
            <v>梯岩村</v>
          </cell>
          <cell r="L155" t="str">
            <v>四川省达州市达川区马家乡东会村5组</v>
          </cell>
          <cell r="M155" t="str">
            <v>四川省达州市达川区马家乡东会村5组</v>
          </cell>
          <cell r="N155" t="str">
            <v>胡清珍</v>
          </cell>
          <cell r="O155" t="str">
            <v>配偶</v>
          </cell>
        </row>
        <row r="155">
          <cell r="Q155" t="str">
            <v>13981457105</v>
          </cell>
          <cell r="R155" t="str">
            <v>51302119420430255762</v>
          </cell>
          <cell r="S155" t="str">
            <v>精神</v>
          </cell>
          <cell r="T155" t="str">
            <v>二级</v>
          </cell>
          <cell r="U155" t="str">
            <v>精神二级;</v>
          </cell>
        </row>
        <row r="156">
          <cell r="B156" t="str">
            <v>513021194811122507</v>
          </cell>
          <cell r="C156" t="str">
            <v>女</v>
          </cell>
          <cell r="D156" t="str">
            <v>汉族</v>
          </cell>
          <cell r="E156" t="str">
            <v>文盲</v>
          </cell>
          <cell r="F156" t="str">
            <v>已婚</v>
          </cell>
          <cell r="G156" t="str">
            <v>农业</v>
          </cell>
        </row>
        <row r="156">
          <cell r="I156" t="str">
            <v>15888423823</v>
          </cell>
          <cell r="J156" t="str">
            <v>百节镇</v>
          </cell>
          <cell r="K156" t="str">
            <v>梯岩村</v>
          </cell>
          <cell r="L156" t="str">
            <v>四川省达州市达川区百节镇梯岩村８组４号</v>
          </cell>
          <cell r="M156" t="str">
            <v>四川省达州市达川区百节镇梯岩村８组４号</v>
          </cell>
        </row>
        <row r="156">
          <cell r="R156" t="str">
            <v>51302119481112250744</v>
          </cell>
          <cell r="S156" t="str">
            <v>肢体</v>
          </cell>
          <cell r="T156" t="str">
            <v>四级</v>
          </cell>
          <cell r="U156" t="str">
            <v>肢体四级;</v>
          </cell>
        </row>
        <row r="157">
          <cell r="B157" t="str">
            <v>51302119680609255X</v>
          </cell>
          <cell r="C157" t="str">
            <v>男</v>
          </cell>
          <cell r="D157" t="str">
            <v>汉族</v>
          </cell>
          <cell r="E157" t="str">
            <v>初中</v>
          </cell>
          <cell r="F157" t="str">
            <v>已婚</v>
          </cell>
          <cell r="G157" t="str">
            <v>农业</v>
          </cell>
        </row>
        <row r="157">
          <cell r="I157" t="str">
            <v>13281726338</v>
          </cell>
          <cell r="J157" t="str">
            <v>百节镇</v>
          </cell>
          <cell r="K157" t="str">
            <v>梯岩村</v>
          </cell>
          <cell r="L157" t="str">
            <v>四川省达州市达川区百节镇梯岩村８组３号</v>
          </cell>
          <cell r="M157" t="str">
            <v>四川省达州市达川区百节镇梯岩村８组３号</v>
          </cell>
          <cell r="N157" t="str">
            <v>龚德平</v>
          </cell>
          <cell r="O157" t="str">
            <v>父母</v>
          </cell>
        </row>
        <row r="157">
          <cell r="Q157" t="str">
            <v>13281726338</v>
          </cell>
          <cell r="R157" t="str">
            <v>51302119680609255X54</v>
          </cell>
          <cell r="S157" t="str">
            <v>智力</v>
          </cell>
          <cell r="T157" t="str">
            <v>四级</v>
          </cell>
          <cell r="U157" t="str">
            <v>智力四级;</v>
          </cell>
        </row>
        <row r="158">
          <cell r="B158" t="str">
            <v>513021196501212557</v>
          </cell>
          <cell r="C158" t="str">
            <v>男</v>
          </cell>
          <cell r="D158" t="str">
            <v>汉族</v>
          </cell>
          <cell r="E158" t="str">
            <v>初中</v>
          </cell>
          <cell r="F158" t="str">
            <v>已婚</v>
          </cell>
          <cell r="G158" t="str">
            <v>农业</v>
          </cell>
        </row>
        <row r="158">
          <cell r="I158" t="str">
            <v>13982843219</v>
          </cell>
          <cell r="J158" t="str">
            <v>百节镇</v>
          </cell>
          <cell r="K158" t="str">
            <v>梯岩村</v>
          </cell>
          <cell r="L158" t="str">
            <v>四川省达州市达川区马家乡东会村5组26号</v>
          </cell>
          <cell r="M158" t="str">
            <v>四川省达州市达川区马家乡东会村5组26号</v>
          </cell>
        </row>
        <row r="158">
          <cell r="R158" t="str">
            <v>51302119650121255744</v>
          </cell>
          <cell r="S158" t="str">
            <v>肢体</v>
          </cell>
          <cell r="T158" t="str">
            <v>四级</v>
          </cell>
          <cell r="U158" t="str">
            <v>肢体四级;</v>
          </cell>
        </row>
        <row r="159">
          <cell r="B159" t="str">
            <v>513021196602130868</v>
          </cell>
          <cell r="C159" t="str">
            <v>女</v>
          </cell>
          <cell r="D159" t="str">
            <v>汉族</v>
          </cell>
          <cell r="E159" t="str">
            <v>小学</v>
          </cell>
          <cell r="F159" t="str">
            <v>已婚</v>
          </cell>
          <cell r="G159" t="str">
            <v>农业</v>
          </cell>
        </row>
        <row r="159">
          <cell r="I159" t="str">
            <v>00000000</v>
          </cell>
          <cell r="J159" t="str">
            <v>百节镇</v>
          </cell>
          <cell r="K159" t="str">
            <v>梯岩村</v>
          </cell>
          <cell r="L159" t="str">
            <v>四川省达县百节镇梯岩村2组１４号</v>
          </cell>
          <cell r="M159" t="str">
            <v>四川省达县百节镇梯岩村2组１４号</v>
          </cell>
        </row>
        <row r="159">
          <cell r="R159" t="str">
            <v>51302119660213086844</v>
          </cell>
          <cell r="S159" t="str">
            <v>肢体</v>
          </cell>
          <cell r="T159" t="str">
            <v>四级</v>
          </cell>
          <cell r="U159" t="str">
            <v>肢体四级;</v>
          </cell>
        </row>
        <row r="160">
          <cell r="B160" t="str">
            <v>513021193111172509</v>
          </cell>
          <cell r="C160" t="str">
            <v>女</v>
          </cell>
          <cell r="D160" t="str">
            <v>汉族</v>
          </cell>
          <cell r="E160" t="str">
            <v>小学</v>
          </cell>
          <cell r="F160" t="str">
            <v>已婚</v>
          </cell>
          <cell r="G160" t="str">
            <v>农业</v>
          </cell>
        </row>
        <row r="160">
          <cell r="I160" t="str">
            <v>18982857663</v>
          </cell>
          <cell r="J160" t="str">
            <v>百节镇</v>
          </cell>
          <cell r="K160" t="str">
            <v>梯岩村</v>
          </cell>
          <cell r="L160" t="str">
            <v>四川省达州市达川区马家乡东会村7组19号</v>
          </cell>
          <cell r="M160" t="str">
            <v>四川省达州市达川区马家乡东会村7组19号</v>
          </cell>
        </row>
        <row r="160">
          <cell r="R160" t="str">
            <v>51302119311117250922</v>
          </cell>
          <cell r="S160" t="str">
            <v>听力</v>
          </cell>
          <cell r="T160" t="str">
            <v>二级</v>
          </cell>
          <cell r="U160" t="str">
            <v>听力二级;</v>
          </cell>
        </row>
        <row r="161">
          <cell r="B161" t="str">
            <v>513021194006152500</v>
          </cell>
          <cell r="C161" t="str">
            <v>女</v>
          </cell>
          <cell r="D161" t="str">
            <v>汉族</v>
          </cell>
          <cell r="E161" t="str">
            <v>小学</v>
          </cell>
          <cell r="F161" t="str">
            <v>已婚</v>
          </cell>
          <cell r="G161" t="str">
            <v>农业</v>
          </cell>
        </row>
        <row r="161">
          <cell r="I161" t="str">
            <v>17323358859</v>
          </cell>
          <cell r="J161" t="str">
            <v>百节镇</v>
          </cell>
          <cell r="K161" t="str">
            <v>梯岩村</v>
          </cell>
          <cell r="L161" t="str">
            <v>四川省达州市达川区百节镇梯岩村２组６６号</v>
          </cell>
          <cell r="M161" t="str">
            <v>四川省达州市达川区百节镇梯岩村２组６６号</v>
          </cell>
        </row>
        <row r="161">
          <cell r="R161" t="str">
            <v>51302119400615250043</v>
          </cell>
          <cell r="S161" t="str">
            <v>肢体</v>
          </cell>
          <cell r="T161" t="str">
            <v>三级</v>
          </cell>
          <cell r="U161" t="str">
            <v>肢体三级;</v>
          </cell>
        </row>
        <row r="162">
          <cell r="B162" t="str">
            <v>513021195108280874</v>
          </cell>
          <cell r="C162" t="str">
            <v>男</v>
          </cell>
          <cell r="D162" t="str">
            <v>汉族</v>
          </cell>
          <cell r="E162" t="str">
            <v>初中</v>
          </cell>
          <cell r="F162" t="str">
            <v>已婚</v>
          </cell>
          <cell r="G162" t="str">
            <v>农业</v>
          </cell>
        </row>
        <row r="162">
          <cell r="I162" t="str">
            <v>18381813980</v>
          </cell>
          <cell r="J162" t="str">
            <v>百节镇</v>
          </cell>
          <cell r="K162" t="str">
            <v>梯岩村</v>
          </cell>
          <cell r="L162" t="str">
            <v>四川省达州市达川区百节镇梯岩村５组１９号</v>
          </cell>
          <cell r="M162" t="str">
            <v>四川省达县百节镇梯岩村５组１９号</v>
          </cell>
        </row>
        <row r="162">
          <cell r="R162" t="str">
            <v>51302119510828087444</v>
          </cell>
          <cell r="S162" t="str">
            <v>肢体</v>
          </cell>
          <cell r="T162" t="str">
            <v>四级</v>
          </cell>
          <cell r="U162" t="str">
            <v>肢体四级;</v>
          </cell>
        </row>
        <row r="163">
          <cell r="B163" t="str">
            <v>513021194408292506</v>
          </cell>
          <cell r="C163" t="str">
            <v>女</v>
          </cell>
          <cell r="D163" t="str">
            <v>汉族</v>
          </cell>
          <cell r="E163" t="str">
            <v>小学</v>
          </cell>
          <cell r="F163" t="str">
            <v>已婚</v>
          </cell>
          <cell r="G163" t="str">
            <v>农业</v>
          </cell>
        </row>
        <row r="163">
          <cell r="I163" t="str">
            <v>17828859386</v>
          </cell>
          <cell r="J163" t="str">
            <v>百节镇</v>
          </cell>
          <cell r="K163" t="str">
            <v>梯岩村</v>
          </cell>
          <cell r="L163" t="str">
            <v>四川省达州市达川区百节镇梯岩村３组３３号</v>
          </cell>
          <cell r="M163" t="str">
            <v>四川省达州市达川区百节镇梯岩村３组３３号</v>
          </cell>
        </row>
        <row r="163">
          <cell r="R163" t="str">
            <v>51302119440829250644</v>
          </cell>
          <cell r="S163" t="str">
            <v>肢体</v>
          </cell>
          <cell r="T163" t="str">
            <v>四级</v>
          </cell>
          <cell r="U163" t="str">
            <v>肢体四级;</v>
          </cell>
        </row>
        <row r="164">
          <cell r="B164" t="str">
            <v>51302119500323250X</v>
          </cell>
          <cell r="C164" t="str">
            <v>女</v>
          </cell>
          <cell r="D164" t="str">
            <v>汉族</v>
          </cell>
          <cell r="E164" t="str">
            <v>文盲</v>
          </cell>
          <cell r="F164" t="str">
            <v>已婚</v>
          </cell>
          <cell r="G164" t="str">
            <v>农业</v>
          </cell>
        </row>
        <row r="164">
          <cell r="I164" t="str">
            <v>1528180288</v>
          </cell>
          <cell r="J164" t="str">
            <v>百节镇</v>
          </cell>
          <cell r="K164" t="str">
            <v>梯岩村</v>
          </cell>
          <cell r="L164" t="str">
            <v>四川省达州市达川区马家乡东会村3组9号</v>
          </cell>
          <cell r="M164" t="str">
            <v>四川省达州市达川区马家乡东会村3组9号</v>
          </cell>
        </row>
        <row r="164">
          <cell r="R164" t="str">
            <v>51302119500323250X23</v>
          </cell>
          <cell r="S164" t="str">
            <v>听力</v>
          </cell>
          <cell r="T164" t="str">
            <v>三级</v>
          </cell>
          <cell r="U164" t="str">
            <v>听力三级;</v>
          </cell>
        </row>
        <row r="165">
          <cell r="B165" t="str">
            <v>513021197004060446</v>
          </cell>
          <cell r="C165" t="str">
            <v>女</v>
          </cell>
          <cell r="D165" t="str">
            <v>汉族</v>
          </cell>
          <cell r="E165" t="str">
            <v>文盲</v>
          </cell>
          <cell r="F165" t="str">
            <v>已婚</v>
          </cell>
          <cell r="G165" t="str">
            <v>农业</v>
          </cell>
        </row>
        <row r="165">
          <cell r="I165" t="str">
            <v>13198313397</v>
          </cell>
          <cell r="J165" t="str">
            <v>百节镇</v>
          </cell>
          <cell r="K165" t="str">
            <v>梯岩村</v>
          </cell>
          <cell r="L165" t="str">
            <v>四川省达州市达川区百节镇梯岩村６组１１号</v>
          </cell>
          <cell r="M165" t="str">
            <v>四川省达州市达川区百节镇梯岩村６组１１号</v>
          </cell>
          <cell r="N165" t="str">
            <v>胡杨应</v>
          </cell>
          <cell r="O165" t="str">
            <v>配偶</v>
          </cell>
        </row>
        <row r="165">
          <cell r="Q165" t="str">
            <v>15508203408</v>
          </cell>
          <cell r="R165" t="str">
            <v>51302119700406044653</v>
          </cell>
          <cell r="S165" t="str">
            <v>智力</v>
          </cell>
          <cell r="T165" t="str">
            <v>三级</v>
          </cell>
          <cell r="U165" t="str">
            <v>智力三级;</v>
          </cell>
        </row>
        <row r="166">
          <cell r="B166" t="str">
            <v>422201199011011863</v>
          </cell>
          <cell r="C166" t="str">
            <v>女</v>
          </cell>
          <cell r="D166" t="str">
            <v>汉族</v>
          </cell>
          <cell r="E166" t="str">
            <v>小学</v>
          </cell>
          <cell r="F166" t="str">
            <v>已婚</v>
          </cell>
          <cell r="G166" t="str">
            <v>农业</v>
          </cell>
        </row>
        <row r="166">
          <cell r="I166" t="str">
            <v>18780880678</v>
          </cell>
          <cell r="J166" t="str">
            <v>百节镇</v>
          </cell>
          <cell r="K166" t="str">
            <v>梯岩村</v>
          </cell>
          <cell r="L166" t="str">
            <v>四川省达州市达川区百节镇梯岩村８组２号</v>
          </cell>
          <cell r="M166" t="str">
            <v>四川省达县百节镇梯岩村８组２号</v>
          </cell>
          <cell r="N166" t="str">
            <v>杨长华</v>
          </cell>
          <cell r="O166" t="str">
            <v>父母</v>
          </cell>
        </row>
        <row r="166">
          <cell r="Q166" t="str">
            <v>18780880678</v>
          </cell>
          <cell r="R166" t="str">
            <v>42220119901101186362</v>
          </cell>
          <cell r="S166" t="str">
            <v>精神</v>
          </cell>
          <cell r="T166" t="str">
            <v>二级</v>
          </cell>
          <cell r="U166" t="str">
            <v>精神二级;</v>
          </cell>
        </row>
        <row r="167">
          <cell r="B167" t="str">
            <v>513021193611080862</v>
          </cell>
          <cell r="C167" t="str">
            <v>女</v>
          </cell>
          <cell r="D167" t="str">
            <v>汉族</v>
          </cell>
          <cell r="E167" t="str">
            <v>小学</v>
          </cell>
          <cell r="F167" t="str">
            <v>已婚</v>
          </cell>
          <cell r="G167" t="str">
            <v>农业</v>
          </cell>
        </row>
        <row r="167">
          <cell r="I167" t="str">
            <v>13419054787</v>
          </cell>
          <cell r="J167" t="str">
            <v>百节镇</v>
          </cell>
          <cell r="K167" t="str">
            <v>梯岩村</v>
          </cell>
          <cell r="L167" t="str">
            <v>四川省达州市达川区百节镇梯岩村３组１９号</v>
          </cell>
          <cell r="M167" t="str">
            <v>四川省达县百节镇梯岩村３组１９号</v>
          </cell>
        </row>
        <row r="167">
          <cell r="R167" t="str">
            <v>51302119361108086243</v>
          </cell>
          <cell r="S167" t="str">
            <v>肢体</v>
          </cell>
          <cell r="T167" t="str">
            <v>三级</v>
          </cell>
          <cell r="U167" t="str">
            <v>肢体三级;</v>
          </cell>
        </row>
        <row r="168">
          <cell r="B168" t="str">
            <v>511721200809085131</v>
          </cell>
          <cell r="C168" t="str">
            <v>男</v>
          </cell>
          <cell r="D168" t="str">
            <v>汉族</v>
          </cell>
          <cell r="E168" t="str">
            <v>文盲</v>
          </cell>
          <cell r="F168" t="str">
            <v>未婚</v>
          </cell>
          <cell r="G168" t="str">
            <v>农业</v>
          </cell>
        </row>
        <row r="168">
          <cell r="I168" t="str">
            <v>18608243865</v>
          </cell>
          <cell r="J168" t="str">
            <v>百节镇</v>
          </cell>
          <cell r="K168" t="str">
            <v>梯岩村</v>
          </cell>
          <cell r="L168" t="str">
            <v>四川省达州市达川区百节镇梯岩村６组１号</v>
          </cell>
          <cell r="M168" t="str">
            <v>四川省达州市达川区百节镇梯岩村６组１号</v>
          </cell>
          <cell r="N168" t="str">
            <v>王成</v>
          </cell>
          <cell r="O168" t="str">
            <v>父母</v>
          </cell>
        </row>
        <row r="168">
          <cell r="Q168" t="str">
            <v>18608243865</v>
          </cell>
          <cell r="R168" t="str">
            <v>51172120080908513142</v>
          </cell>
          <cell r="S168" t="str">
            <v>肢体</v>
          </cell>
          <cell r="T168" t="str">
            <v>二级</v>
          </cell>
          <cell r="U168" t="str">
            <v>肢体二级;</v>
          </cell>
        </row>
        <row r="169">
          <cell r="B169" t="str">
            <v>513021196212262566</v>
          </cell>
          <cell r="C169" t="str">
            <v>女</v>
          </cell>
          <cell r="D169" t="str">
            <v>汉族</v>
          </cell>
          <cell r="E169" t="str">
            <v>文盲</v>
          </cell>
          <cell r="F169" t="str">
            <v>已婚</v>
          </cell>
          <cell r="G169" t="str">
            <v>农业</v>
          </cell>
        </row>
        <row r="169">
          <cell r="I169" t="str">
            <v>13064320896</v>
          </cell>
          <cell r="J169" t="str">
            <v>百节镇</v>
          </cell>
          <cell r="K169" t="str">
            <v>梯岩村</v>
          </cell>
          <cell r="L169" t="str">
            <v>四川省达州市达川区马家乡东会村4组23号</v>
          </cell>
          <cell r="M169" t="str">
            <v>四川省达州市达川区马家乡东会村4组23号</v>
          </cell>
        </row>
        <row r="169">
          <cell r="R169" t="str">
            <v>51302119621226256644</v>
          </cell>
          <cell r="S169" t="str">
            <v>肢体</v>
          </cell>
          <cell r="T169" t="str">
            <v>四级</v>
          </cell>
          <cell r="U169" t="str">
            <v>肢体四级;</v>
          </cell>
        </row>
        <row r="170">
          <cell r="B170" t="str">
            <v>513021193603262527</v>
          </cell>
          <cell r="C170" t="str">
            <v>女</v>
          </cell>
          <cell r="D170" t="str">
            <v>汉族</v>
          </cell>
          <cell r="E170" t="str">
            <v>文盲</v>
          </cell>
          <cell r="F170" t="str">
            <v>已婚</v>
          </cell>
          <cell r="G170" t="str">
            <v>农业</v>
          </cell>
        </row>
        <row r="170">
          <cell r="I170" t="str">
            <v>15281883417</v>
          </cell>
          <cell r="J170" t="str">
            <v>百节镇</v>
          </cell>
          <cell r="K170" t="str">
            <v>梯岩村</v>
          </cell>
          <cell r="L170" t="str">
            <v>四川省达州市达川区百节镇梯岩村４组２６号</v>
          </cell>
          <cell r="M170" t="str">
            <v>四川省达州市达川区百节镇梯岩村４组２６号</v>
          </cell>
        </row>
        <row r="170">
          <cell r="R170" t="str">
            <v>51302119360326252742</v>
          </cell>
          <cell r="S170" t="str">
            <v>肢体</v>
          </cell>
          <cell r="T170" t="str">
            <v>二级</v>
          </cell>
          <cell r="U170" t="str">
            <v>肢体二级;</v>
          </cell>
        </row>
        <row r="171">
          <cell r="B171" t="str">
            <v>513021196204010879</v>
          </cell>
          <cell r="C171" t="str">
            <v>男</v>
          </cell>
          <cell r="D171" t="str">
            <v>汉族</v>
          </cell>
          <cell r="E171" t="str">
            <v>小学</v>
          </cell>
          <cell r="F171" t="str">
            <v>已婚</v>
          </cell>
          <cell r="G171" t="str">
            <v>农业</v>
          </cell>
        </row>
        <row r="171">
          <cell r="I171" t="str">
            <v>15983885912</v>
          </cell>
          <cell r="J171" t="str">
            <v>百节镇</v>
          </cell>
          <cell r="K171" t="str">
            <v>梯岩村</v>
          </cell>
          <cell r="L171" t="str">
            <v>四川省达州市达川区百节镇梯岩村２组３４号</v>
          </cell>
          <cell r="M171" t="str">
            <v>四川省达州市达川区百节镇梯岩村２组３４号</v>
          </cell>
        </row>
        <row r="171">
          <cell r="R171" t="str">
            <v>51302119620401087911</v>
          </cell>
          <cell r="S171" t="str">
            <v>视力</v>
          </cell>
          <cell r="T171" t="str">
            <v>一级</v>
          </cell>
          <cell r="U171" t="str">
            <v>视力一级;</v>
          </cell>
        </row>
        <row r="172">
          <cell r="B172" t="str">
            <v>513021195704162508</v>
          </cell>
          <cell r="C172" t="str">
            <v>女</v>
          </cell>
          <cell r="D172" t="str">
            <v>汉族</v>
          </cell>
          <cell r="E172" t="str">
            <v>文盲</v>
          </cell>
          <cell r="F172" t="str">
            <v>已婚</v>
          </cell>
          <cell r="G172" t="str">
            <v>农业</v>
          </cell>
        </row>
        <row r="172">
          <cell r="I172" t="str">
            <v>18989177090</v>
          </cell>
          <cell r="J172" t="str">
            <v>百节镇</v>
          </cell>
          <cell r="K172" t="str">
            <v>梯岩村</v>
          </cell>
          <cell r="L172" t="str">
            <v>四川省达州市达川区马家乡东会村５组２２号</v>
          </cell>
          <cell r="M172" t="str">
            <v>四川省达县马家乡东会村５组２２号</v>
          </cell>
          <cell r="N172" t="str">
            <v>郭德全</v>
          </cell>
          <cell r="O172" t="str">
            <v>配偶</v>
          </cell>
        </row>
        <row r="172">
          <cell r="Q172" t="str">
            <v>18989177090</v>
          </cell>
          <cell r="R172" t="str">
            <v>51302119570416250863</v>
          </cell>
          <cell r="S172" t="str">
            <v>精神</v>
          </cell>
          <cell r="T172" t="str">
            <v>三级</v>
          </cell>
          <cell r="U172" t="str">
            <v>精神三级;</v>
          </cell>
        </row>
        <row r="173">
          <cell r="B173" t="str">
            <v>513021193906042505</v>
          </cell>
          <cell r="C173" t="str">
            <v>女</v>
          </cell>
          <cell r="D173" t="str">
            <v>汉族</v>
          </cell>
          <cell r="E173" t="str">
            <v>小学</v>
          </cell>
          <cell r="F173" t="str">
            <v>已婚</v>
          </cell>
          <cell r="G173" t="str">
            <v>农业</v>
          </cell>
        </row>
        <row r="173">
          <cell r="I173" t="str">
            <v>13008255917</v>
          </cell>
          <cell r="J173" t="str">
            <v>百节镇</v>
          </cell>
          <cell r="K173" t="str">
            <v>梯岩村</v>
          </cell>
          <cell r="L173" t="str">
            <v>四川省达州市达川区百节镇梯岩村２组４２号</v>
          </cell>
          <cell r="M173" t="str">
            <v>四川省达州市达川区百节镇梯岩村２组４２号</v>
          </cell>
        </row>
        <row r="173">
          <cell r="R173" t="str">
            <v>51302119390604250543</v>
          </cell>
          <cell r="S173" t="str">
            <v>肢体</v>
          </cell>
          <cell r="T173" t="str">
            <v>三级</v>
          </cell>
          <cell r="U173" t="str">
            <v>肢体三级;</v>
          </cell>
        </row>
        <row r="174">
          <cell r="B174" t="str">
            <v>513021194302152599</v>
          </cell>
          <cell r="C174" t="str">
            <v>男</v>
          </cell>
          <cell r="D174" t="str">
            <v>汉族</v>
          </cell>
          <cell r="E174" t="str">
            <v>初中</v>
          </cell>
          <cell r="F174" t="str">
            <v>已婚</v>
          </cell>
          <cell r="G174" t="str">
            <v>农业</v>
          </cell>
        </row>
        <row r="174">
          <cell r="I174" t="str">
            <v>13086321993</v>
          </cell>
          <cell r="J174" t="str">
            <v>百节镇</v>
          </cell>
          <cell r="K174" t="str">
            <v>梯岩村</v>
          </cell>
          <cell r="L174" t="str">
            <v>四川省达州市达川区百节镇梯岩村６组１０号</v>
          </cell>
          <cell r="M174" t="str">
            <v>四川省达州市达川区百节镇梯岩村６组１０号</v>
          </cell>
        </row>
        <row r="174">
          <cell r="R174" t="str">
            <v>51302119430215259942</v>
          </cell>
          <cell r="S174" t="str">
            <v>肢体</v>
          </cell>
          <cell r="T174" t="str">
            <v>二级</v>
          </cell>
          <cell r="U174" t="str">
            <v>肢体二级;</v>
          </cell>
        </row>
        <row r="175">
          <cell r="B175" t="str">
            <v>513021196811252554</v>
          </cell>
          <cell r="C175" t="str">
            <v>男</v>
          </cell>
          <cell r="D175" t="str">
            <v>汉族</v>
          </cell>
          <cell r="E175" t="str">
            <v>小学</v>
          </cell>
          <cell r="F175" t="str">
            <v>已婚</v>
          </cell>
          <cell r="G175" t="str">
            <v>农业</v>
          </cell>
        </row>
        <row r="175">
          <cell r="I175" t="str">
            <v>18381904965</v>
          </cell>
          <cell r="J175" t="str">
            <v>百节镇</v>
          </cell>
          <cell r="K175" t="str">
            <v>梯岩村</v>
          </cell>
          <cell r="L175" t="str">
            <v>四川省达州市达川区百节镇梯岩村３组３０号</v>
          </cell>
          <cell r="M175" t="str">
            <v>四川省达州市达川区百节镇梯岩村３组３０号</v>
          </cell>
        </row>
        <row r="175">
          <cell r="R175" t="str">
            <v>51302119681125255411</v>
          </cell>
          <cell r="S175" t="str">
            <v>视力</v>
          </cell>
          <cell r="T175" t="str">
            <v>一级</v>
          </cell>
          <cell r="U175" t="str">
            <v>视力一级;</v>
          </cell>
        </row>
        <row r="176">
          <cell r="B176" t="str">
            <v>513021194912270867</v>
          </cell>
          <cell r="C176" t="str">
            <v>女</v>
          </cell>
          <cell r="D176" t="str">
            <v>汉族</v>
          </cell>
          <cell r="E176" t="str">
            <v>小学</v>
          </cell>
          <cell r="F176" t="str">
            <v>已婚</v>
          </cell>
          <cell r="G176" t="str">
            <v>农业</v>
          </cell>
        </row>
        <row r="176">
          <cell r="I176" t="str">
            <v>000000000</v>
          </cell>
          <cell r="J176" t="str">
            <v>百节镇</v>
          </cell>
          <cell r="K176" t="str">
            <v>梯岩村</v>
          </cell>
          <cell r="L176" t="str">
            <v>四川省达州市达川区百节镇梯岩村３组４０号</v>
          </cell>
          <cell r="M176" t="str">
            <v>四川省达县百节镇梯岩村３组４０号</v>
          </cell>
        </row>
        <row r="176">
          <cell r="R176" t="str">
            <v>51302119491227086744</v>
          </cell>
          <cell r="S176" t="str">
            <v>肢体</v>
          </cell>
          <cell r="T176" t="str">
            <v>四级</v>
          </cell>
          <cell r="U176" t="str">
            <v>肢体四级;</v>
          </cell>
        </row>
        <row r="177">
          <cell r="B177" t="str">
            <v>513021194912090866</v>
          </cell>
          <cell r="C177" t="str">
            <v>女</v>
          </cell>
          <cell r="D177" t="str">
            <v>汉族</v>
          </cell>
          <cell r="E177" t="str">
            <v>文盲</v>
          </cell>
          <cell r="F177" t="str">
            <v>已婚</v>
          </cell>
          <cell r="G177" t="str">
            <v>农业</v>
          </cell>
        </row>
        <row r="177">
          <cell r="I177" t="str">
            <v>2666955</v>
          </cell>
          <cell r="J177" t="str">
            <v>百节镇</v>
          </cell>
          <cell r="K177" t="str">
            <v>梯岩村</v>
          </cell>
          <cell r="L177" t="str">
            <v>四川省达县百节镇梯岩村4组</v>
          </cell>
          <cell r="M177" t="str">
            <v>四川省达县百节镇梯岩村4组</v>
          </cell>
          <cell r="N177" t="str">
            <v>庞启富</v>
          </cell>
          <cell r="O177" t="str">
            <v>配偶</v>
          </cell>
        </row>
        <row r="177">
          <cell r="Q177" t="str">
            <v>2666955</v>
          </cell>
          <cell r="R177" t="str">
            <v>51302119491209086653</v>
          </cell>
          <cell r="S177" t="str">
            <v>智力</v>
          </cell>
          <cell r="T177" t="str">
            <v>三级</v>
          </cell>
          <cell r="U177" t="str">
            <v>智力三级;</v>
          </cell>
        </row>
        <row r="178">
          <cell r="B178" t="str">
            <v>513021197902022556</v>
          </cell>
          <cell r="C178" t="str">
            <v>男</v>
          </cell>
          <cell r="D178" t="str">
            <v>汉族</v>
          </cell>
          <cell r="E178" t="str">
            <v>初中</v>
          </cell>
          <cell r="F178" t="str">
            <v>已婚</v>
          </cell>
          <cell r="G178" t="str">
            <v>农业</v>
          </cell>
        </row>
        <row r="178">
          <cell r="I178" t="str">
            <v>0000000</v>
          </cell>
          <cell r="J178" t="str">
            <v>百节镇</v>
          </cell>
          <cell r="K178" t="str">
            <v>梯岩村</v>
          </cell>
          <cell r="L178" t="str">
            <v>四川省达县马家乡川主村1组３号</v>
          </cell>
          <cell r="M178" t="str">
            <v>四川省达县马家乡川主村1组３号</v>
          </cell>
        </row>
        <row r="178">
          <cell r="R178" t="str">
            <v>51302119790202255624</v>
          </cell>
          <cell r="S178" t="str">
            <v>听力</v>
          </cell>
          <cell r="T178" t="str">
            <v>四级</v>
          </cell>
          <cell r="U178" t="str">
            <v>听力四级;</v>
          </cell>
        </row>
        <row r="179">
          <cell r="B179" t="str">
            <v>513021197112202528</v>
          </cell>
          <cell r="C179" t="str">
            <v>女</v>
          </cell>
          <cell r="D179" t="str">
            <v>汉族</v>
          </cell>
          <cell r="E179" t="str">
            <v>初中</v>
          </cell>
          <cell r="F179" t="str">
            <v>离婚</v>
          </cell>
          <cell r="G179" t="str">
            <v>农业</v>
          </cell>
        </row>
        <row r="179">
          <cell r="I179" t="str">
            <v>13551463122</v>
          </cell>
          <cell r="J179" t="str">
            <v>百节镇</v>
          </cell>
          <cell r="K179" t="str">
            <v>梯岩村</v>
          </cell>
          <cell r="L179" t="str">
            <v>四川省达州市达川区百节镇梯岩村1组１０１号</v>
          </cell>
          <cell r="M179" t="str">
            <v>四川省达州市达川区百节镇梯岩村1组１０１号</v>
          </cell>
          <cell r="N179" t="str">
            <v>潘广瑞</v>
          </cell>
          <cell r="O179" t="str">
            <v>父母</v>
          </cell>
        </row>
        <row r="179">
          <cell r="Q179" t="str">
            <v>13551463122</v>
          </cell>
          <cell r="R179" t="str">
            <v>51302119711220252861</v>
          </cell>
          <cell r="S179" t="str">
            <v>精神</v>
          </cell>
          <cell r="T179" t="str">
            <v>一级</v>
          </cell>
          <cell r="U179" t="str">
            <v>精神一级;</v>
          </cell>
        </row>
        <row r="180">
          <cell r="B180" t="str">
            <v>51302119790228090X</v>
          </cell>
          <cell r="C180" t="str">
            <v>女</v>
          </cell>
          <cell r="D180" t="str">
            <v>汉族</v>
          </cell>
          <cell r="E180" t="str">
            <v>小学</v>
          </cell>
          <cell r="F180" t="str">
            <v>已婚</v>
          </cell>
          <cell r="G180" t="str">
            <v>农业</v>
          </cell>
        </row>
        <row r="180">
          <cell r="I180" t="str">
            <v>13547246515</v>
          </cell>
          <cell r="J180" t="str">
            <v>百节镇</v>
          </cell>
          <cell r="K180" t="str">
            <v>梯岩村</v>
          </cell>
          <cell r="L180" t="str">
            <v>四川省达县百节镇梯岩村３组８号</v>
          </cell>
          <cell r="M180" t="str">
            <v>四川省达县百节镇梯岩村３组８号</v>
          </cell>
          <cell r="N180" t="str">
            <v>孙洪春</v>
          </cell>
          <cell r="O180" t="str">
            <v>配偶</v>
          </cell>
        </row>
        <row r="180">
          <cell r="Q180" t="str">
            <v>13547246515</v>
          </cell>
          <cell r="R180" t="str">
            <v>51302119790228090X62</v>
          </cell>
          <cell r="S180" t="str">
            <v>精神</v>
          </cell>
          <cell r="T180" t="str">
            <v>二级</v>
          </cell>
          <cell r="U180" t="str">
            <v>精神二级;</v>
          </cell>
        </row>
        <row r="181">
          <cell r="B181" t="str">
            <v>513021195711170864</v>
          </cell>
          <cell r="C181" t="str">
            <v>女</v>
          </cell>
          <cell r="D181" t="str">
            <v>汉族</v>
          </cell>
          <cell r="E181" t="str">
            <v>初中</v>
          </cell>
          <cell r="F181" t="str">
            <v>已婚</v>
          </cell>
          <cell r="G181" t="str">
            <v>农业</v>
          </cell>
        </row>
        <row r="181">
          <cell r="I181" t="str">
            <v>18782885779</v>
          </cell>
          <cell r="J181" t="str">
            <v>百节镇</v>
          </cell>
          <cell r="K181" t="str">
            <v>梯岩村</v>
          </cell>
          <cell r="L181" t="str">
            <v>四川省达州市达川区百节镇梯岩村1组</v>
          </cell>
          <cell r="M181" t="str">
            <v>四川省达州市达川区百节镇梯岩村1组</v>
          </cell>
        </row>
        <row r="181">
          <cell r="R181" t="str">
            <v>51302119571117086424</v>
          </cell>
          <cell r="S181" t="str">
            <v>听力</v>
          </cell>
          <cell r="T181" t="str">
            <v>四级</v>
          </cell>
          <cell r="U181" t="str">
            <v>听力四级;</v>
          </cell>
        </row>
        <row r="182">
          <cell r="B182" t="str">
            <v>513021194412102525</v>
          </cell>
          <cell r="C182" t="str">
            <v>女</v>
          </cell>
          <cell r="D182" t="str">
            <v>汉族</v>
          </cell>
          <cell r="E182" t="str">
            <v>小学</v>
          </cell>
          <cell r="F182" t="str">
            <v>已婚</v>
          </cell>
          <cell r="G182" t="str">
            <v>农业</v>
          </cell>
        </row>
        <row r="182">
          <cell r="I182" t="str">
            <v>18381986577</v>
          </cell>
          <cell r="J182" t="str">
            <v>百节镇</v>
          </cell>
          <cell r="K182" t="str">
            <v>梯岩村</v>
          </cell>
          <cell r="L182" t="str">
            <v>四川省达州市达川区马家乡东会村1组41号</v>
          </cell>
          <cell r="M182" t="str">
            <v>四川省达县</v>
          </cell>
        </row>
        <row r="182">
          <cell r="R182" t="str">
            <v>51302119441210252544</v>
          </cell>
          <cell r="S182" t="str">
            <v>肢体</v>
          </cell>
          <cell r="T182" t="str">
            <v>四级</v>
          </cell>
          <cell r="U182" t="str">
            <v>肢体四级;</v>
          </cell>
        </row>
        <row r="183">
          <cell r="B183" t="str">
            <v>51302119490207255X</v>
          </cell>
          <cell r="C183" t="str">
            <v>男</v>
          </cell>
          <cell r="D183" t="str">
            <v>汉族</v>
          </cell>
          <cell r="E183" t="str">
            <v>小学</v>
          </cell>
          <cell r="F183" t="str">
            <v>已婚</v>
          </cell>
          <cell r="G183" t="str">
            <v>农业</v>
          </cell>
        </row>
        <row r="183">
          <cell r="I183" t="str">
            <v>15583334874</v>
          </cell>
          <cell r="J183" t="str">
            <v>百节镇</v>
          </cell>
          <cell r="K183" t="str">
            <v>梯岩村</v>
          </cell>
          <cell r="L183" t="str">
            <v>四川省达州市达川区马家乡东会村5组22号</v>
          </cell>
          <cell r="M183" t="str">
            <v>四川省达州市达川区马家乡东会村5组22号</v>
          </cell>
        </row>
        <row r="183">
          <cell r="R183" t="str">
            <v>51302119490207255X24</v>
          </cell>
          <cell r="S183" t="str">
            <v>听力</v>
          </cell>
          <cell r="T183" t="str">
            <v>四级</v>
          </cell>
          <cell r="U183" t="str">
            <v>听力四级;</v>
          </cell>
        </row>
        <row r="184">
          <cell r="B184" t="str">
            <v>513021195411052559</v>
          </cell>
          <cell r="C184" t="str">
            <v>男</v>
          </cell>
          <cell r="D184" t="str">
            <v>汉族</v>
          </cell>
          <cell r="E184" t="str">
            <v>小学</v>
          </cell>
          <cell r="F184" t="str">
            <v>已婚</v>
          </cell>
          <cell r="G184" t="str">
            <v>农业</v>
          </cell>
        </row>
        <row r="184">
          <cell r="I184" t="str">
            <v>15984794350</v>
          </cell>
          <cell r="J184" t="str">
            <v>百节镇</v>
          </cell>
          <cell r="K184" t="str">
            <v>梯岩村</v>
          </cell>
          <cell r="L184" t="str">
            <v>四川省达州市达川区百节镇梯岩村3组</v>
          </cell>
          <cell r="M184" t="str">
            <v>四川省达州市达川区百节镇梯岩村3组</v>
          </cell>
        </row>
        <row r="184">
          <cell r="R184" t="str">
            <v>51302119541105255942</v>
          </cell>
          <cell r="S184" t="str">
            <v>肢体</v>
          </cell>
          <cell r="T184" t="str">
            <v>二级</v>
          </cell>
          <cell r="U184" t="str">
            <v>肢体二级;</v>
          </cell>
        </row>
        <row r="185">
          <cell r="B185" t="str">
            <v>513021195308062556</v>
          </cell>
          <cell r="C185" t="str">
            <v>男</v>
          </cell>
          <cell r="D185" t="str">
            <v>汉族</v>
          </cell>
          <cell r="E185" t="str">
            <v>初中</v>
          </cell>
          <cell r="F185" t="str">
            <v>已婚</v>
          </cell>
          <cell r="G185" t="str">
            <v>农业</v>
          </cell>
        </row>
        <row r="185">
          <cell r="I185" t="str">
            <v>15508229212</v>
          </cell>
          <cell r="J185" t="str">
            <v>百节镇</v>
          </cell>
          <cell r="K185" t="str">
            <v>梯岩村</v>
          </cell>
          <cell r="L185" t="str">
            <v>四川省达州市达川区马家镇东会村5组</v>
          </cell>
          <cell r="M185" t="str">
            <v>四川省达州市达川区马家镇东会村5组</v>
          </cell>
          <cell r="N185" t="str">
            <v>吴开元</v>
          </cell>
          <cell r="O185" t="str">
            <v>兄/弟/姐/妹</v>
          </cell>
        </row>
        <row r="185">
          <cell r="Q185" t="str">
            <v>15583761298</v>
          </cell>
          <cell r="R185" t="str">
            <v>51302119530806255652</v>
          </cell>
          <cell r="S185" t="str">
            <v>智力</v>
          </cell>
          <cell r="T185" t="str">
            <v>二级</v>
          </cell>
          <cell r="U185" t="str">
            <v>智力二级;</v>
          </cell>
        </row>
        <row r="186">
          <cell r="B186" t="str">
            <v>513021194509172503</v>
          </cell>
          <cell r="C186" t="str">
            <v>女</v>
          </cell>
          <cell r="D186" t="str">
            <v>汉族</v>
          </cell>
          <cell r="E186" t="str">
            <v>小学</v>
          </cell>
          <cell r="F186" t="str">
            <v>已婚</v>
          </cell>
          <cell r="G186" t="str">
            <v>农业</v>
          </cell>
        </row>
        <row r="186">
          <cell r="I186" t="str">
            <v>18782810395</v>
          </cell>
          <cell r="J186" t="str">
            <v>百节镇</v>
          </cell>
          <cell r="K186" t="str">
            <v>梯岩村</v>
          </cell>
          <cell r="L186" t="str">
            <v>四川省达州市达川区马家镇东会村6组36号</v>
          </cell>
          <cell r="M186" t="str">
            <v>四川省达州市达川区马家镇东会村6组36号</v>
          </cell>
        </row>
        <row r="186">
          <cell r="R186" t="str">
            <v>51302119450917250343</v>
          </cell>
          <cell r="S186" t="str">
            <v>肢体</v>
          </cell>
          <cell r="T186" t="str">
            <v>三级</v>
          </cell>
          <cell r="U186" t="str">
            <v>肢体三级;</v>
          </cell>
        </row>
        <row r="187">
          <cell r="B187" t="str">
            <v>513021196309202527</v>
          </cell>
          <cell r="C187" t="str">
            <v>女</v>
          </cell>
          <cell r="D187" t="str">
            <v>汉族</v>
          </cell>
          <cell r="E187" t="str">
            <v>小学</v>
          </cell>
          <cell r="F187" t="str">
            <v>已婚</v>
          </cell>
          <cell r="G187" t="str">
            <v>农业</v>
          </cell>
        </row>
        <row r="187">
          <cell r="I187" t="str">
            <v>15908380093</v>
          </cell>
          <cell r="J187" t="str">
            <v>百节镇</v>
          </cell>
          <cell r="K187" t="str">
            <v>梯岩村</v>
          </cell>
          <cell r="L187" t="str">
            <v>四川省达州市达川区百节镇梯岩村7组</v>
          </cell>
          <cell r="M187" t="str">
            <v>四川省达州市达川区百节镇梯岩村7组</v>
          </cell>
          <cell r="N187" t="str">
            <v>王</v>
          </cell>
          <cell r="O187" t="str">
            <v>子</v>
          </cell>
        </row>
        <row r="187">
          <cell r="Q187" t="str">
            <v>15908380093</v>
          </cell>
          <cell r="R187" t="str">
            <v>51302119630920252762</v>
          </cell>
          <cell r="S187" t="str">
            <v>精神</v>
          </cell>
          <cell r="T187" t="str">
            <v>二级</v>
          </cell>
          <cell r="U187" t="str">
            <v>精神二级;</v>
          </cell>
        </row>
        <row r="188">
          <cell r="B188" t="str">
            <v>513021195203172556</v>
          </cell>
          <cell r="C188" t="str">
            <v>男</v>
          </cell>
          <cell r="D188" t="str">
            <v>汉族</v>
          </cell>
          <cell r="E188" t="str">
            <v>初中</v>
          </cell>
          <cell r="F188" t="str">
            <v>已婚</v>
          </cell>
          <cell r="G188" t="str">
            <v>农业</v>
          </cell>
        </row>
        <row r="188">
          <cell r="I188" t="str">
            <v>13079000788</v>
          </cell>
          <cell r="J188" t="str">
            <v>百节镇</v>
          </cell>
          <cell r="K188" t="str">
            <v>梯岩村</v>
          </cell>
          <cell r="L188" t="str">
            <v>四川省达州市达川区百节镇梯岩村6组</v>
          </cell>
          <cell r="M188" t="str">
            <v>四川省达州市达川区百节镇梯岩村6组</v>
          </cell>
        </row>
        <row r="188">
          <cell r="R188" t="str">
            <v>51302119520317255644</v>
          </cell>
          <cell r="S188" t="str">
            <v>肢体</v>
          </cell>
          <cell r="T188" t="str">
            <v>四级</v>
          </cell>
          <cell r="U188" t="str">
            <v>肢体四级;</v>
          </cell>
        </row>
        <row r="189">
          <cell r="B189" t="str">
            <v>513021195304090875</v>
          </cell>
          <cell r="C189" t="str">
            <v>男</v>
          </cell>
          <cell r="D189" t="str">
            <v>汉族</v>
          </cell>
          <cell r="E189" t="str">
            <v>小学</v>
          </cell>
          <cell r="F189" t="str">
            <v>已婚</v>
          </cell>
          <cell r="G189" t="str">
            <v>农业</v>
          </cell>
        </row>
        <row r="189">
          <cell r="I189" t="str">
            <v>18381975373</v>
          </cell>
          <cell r="J189" t="str">
            <v>百节镇</v>
          </cell>
          <cell r="K189" t="str">
            <v>梯岩村</v>
          </cell>
          <cell r="L189" t="str">
            <v>四川省达州市达川区百节镇梯岩村5组</v>
          </cell>
          <cell r="M189" t="str">
            <v>四川省达州市达川区百节镇梯岩村5组</v>
          </cell>
        </row>
        <row r="189">
          <cell r="R189" t="str">
            <v>51302119530409087511</v>
          </cell>
          <cell r="S189" t="str">
            <v>视力</v>
          </cell>
          <cell r="T189" t="str">
            <v>一级</v>
          </cell>
          <cell r="U189" t="str">
            <v>视力一级;</v>
          </cell>
        </row>
        <row r="190">
          <cell r="B190" t="str">
            <v>51302119531101087X</v>
          </cell>
          <cell r="C190" t="str">
            <v>男</v>
          </cell>
          <cell r="D190" t="str">
            <v>汉族</v>
          </cell>
          <cell r="E190" t="str">
            <v>小学</v>
          </cell>
          <cell r="F190" t="str">
            <v>已婚</v>
          </cell>
          <cell r="G190" t="str">
            <v>农业</v>
          </cell>
        </row>
        <row r="190">
          <cell r="I190" t="str">
            <v>13684208343</v>
          </cell>
          <cell r="J190" t="str">
            <v>百节镇</v>
          </cell>
          <cell r="K190" t="str">
            <v>梯岩村</v>
          </cell>
          <cell r="L190" t="str">
            <v>四川省达州市达川区百节镇梯岩村3组</v>
          </cell>
          <cell r="M190" t="str">
            <v>四川省达州市达川区百节镇梯岩村3组</v>
          </cell>
        </row>
        <row r="190">
          <cell r="R190" t="str">
            <v>51302119531101087X43</v>
          </cell>
          <cell r="S190" t="str">
            <v>肢体</v>
          </cell>
          <cell r="T190" t="str">
            <v>三级</v>
          </cell>
          <cell r="U190" t="str">
            <v>肢体三级;</v>
          </cell>
        </row>
        <row r="191">
          <cell r="B191" t="str">
            <v>513021195503080872</v>
          </cell>
          <cell r="C191" t="str">
            <v>男</v>
          </cell>
          <cell r="D191" t="str">
            <v>汉族</v>
          </cell>
          <cell r="E191" t="str">
            <v>小学</v>
          </cell>
          <cell r="F191" t="str">
            <v>已婚</v>
          </cell>
          <cell r="G191" t="str">
            <v>农业</v>
          </cell>
        </row>
        <row r="191">
          <cell r="I191" t="str">
            <v>17778405338</v>
          </cell>
          <cell r="J191" t="str">
            <v>百节镇</v>
          </cell>
          <cell r="K191" t="str">
            <v>三牌社区</v>
          </cell>
          <cell r="L191" t="str">
            <v>四川省达州市达川区百节镇三牌村５组３６号</v>
          </cell>
          <cell r="M191" t="str">
            <v>四川省达州市达川区百节镇三牌村５组３６号</v>
          </cell>
          <cell r="N191" t="str">
            <v>周代淑</v>
          </cell>
          <cell r="O191" t="str">
            <v>配偶</v>
          </cell>
        </row>
        <row r="191">
          <cell r="R191" t="str">
            <v>51302119550308087214</v>
          </cell>
          <cell r="S191" t="str">
            <v>视力</v>
          </cell>
          <cell r="T191" t="str">
            <v>四级</v>
          </cell>
          <cell r="U191" t="str">
            <v>视力四级;</v>
          </cell>
        </row>
        <row r="192">
          <cell r="B192" t="str">
            <v>513021197011080445</v>
          </cell>
          <cell r="C192" t="str">
            <v>女</v>
          </cell>
          <cell r="D192" t="str">
            <v>汉族</v>
          </cell>
          <cell r="E192" t="str">
            <v>小学</v>
          </cell>
          <cell r="F192" t="str">
            <v>已婚</v>
          </cell>
          <cell r="G192" t="str">
            <v>农业</v>
          </cell>
        </row>
        <row r="192">
          <cell r="J192" t="str">
            <v>百节镇</v>
          </cell>
          <cell r="K192" t="str">
            <v>三牌社区</v>
          </cell>
          <cell r="L192" t="str">
            <v>四川省达县百节镇三牌村１组７５号</v>
          </cell>
          <cell r="M192" t="str">
            <v>四川省达县百节镇三牌村１组７５号</v>
          </cell>
          <cell r="N192" t="str">
            <v>王正明</v>
          </cell>
          <cell r="O192" t="str">
            <v>配偶</v>
          </cell>
        </row>
        <row r="192">
          <cell r="R192" t="str">
            <v>51302119701108044544</v>
          </cell>
          <cell r="S192" t="str">
            <v>肢体</v>
          </cell>
          <cell r="T192" t="str">
            <v>四级</v>
          </cell>
          <cell r="U192" t="str">
            <v>肢体四级;</v>
          </cell>
        </row>
        <row r="193">
          <cell r="B193" t="str">
            <v>513021195009290866</v>
          </cell>
          <cell r="C193" t="str">
            <v>女</v>
          </cell>
          <cell r="D193" t="str">
            <v>汉族</v>
          </cell>
          <cell r="E193" t="str">
            <v>文盲</v>
          </cell>
          <cell r="F193" t="str">
            <v>已婚</v>
          </cell>
          <cell r="G193" t="str">
            <v>农业</v>
          </cell>
        </row>
        <row r="193">
          <cell r="I193" t="str">
            <v>17380180269</v>
          </cell>
          <cell r="J193" t="str">
            <v>百节镇</v>
          </cell>
          <cell r="K193" t="str">
            <v>三牌社区</v>
          </cell>
          <cell r="L193" t="str">
            <v>四川省达州市达川区百节镇三牌村５组４６号</v>
          </cell>
          <cell r="M193" t="str">
            <v>四川省达州市达川区百节镇三牌村５组４６号</v>
          </cell>
          <cell r="N193" t="str">
            <v>杨卡禄</v>
          </cell>
          <cell r="O193" t="str">
            <v>配偶</v>
          </cell>
        </row>
        <row r="193">
          <cell r="R193" t="str">
            <v>51302119500929086644</v>
          </cell>
          <cell r="S193" t="str">
            <v>肢体</v>
          </cell>
          <cell r="T193" t="str">
            <v>四级</v>
          </cell>
          <cell r="U193" t="str">
            <v>肢体四级;</v>
          </cell>
        </row>
        <row r="194">
          <cell r="B194" t="str">
            <v>513021197304080887</v>
          </cell>
          <cell r="C194" t="str">
            <v>女</v>
          </cell>
          <cell r="D194" t="str">
            <v>汉族</v>
          </cell>
          <cell r="E194" t="str">
            <v>小学</v>
          </cell>
          <cell r="F194" t="str">
            <v>已婚</v>
          </cell>
          <cell r="G194" t="str">
            <v>农业</v>
          </cell>
        </row>
        <row r="194">
          <cell r="I194" t="str">
            <v>19162893753</v>
          </cell>
          <cell r="J194" t="str">
            <v>百节镇</v>
          </cell>
          <cell r="K194" t="str">
            <v>三牌社区</v>
          </cell>
          <cell r="L194" t="str">
            <v>四川省达州市达川区百节镇三牌社区２组９号</v>
          </cell>
          <cell r="M194" t="str">
            <v>四川省达州市达川区百节镇三牌社区２组９号</v>
          </cell>
        </row>
        <row r="194">
          <cell r="O194" t="str">
            <v>其他</v>
          </cell>
        </row>
        <row r="194">
          <cell r="R194" t="str">
            <v>51302119730408088744</v>
          </cell>
          <cell r="S194" t="str">
            <v>肢体</v>
          </cell>
          <cell r="T194" t="str">
            <v>四级</v>
          </cell>
          <cell r="U194" t="str">
            <v>肢体四级;</v>
          </cell>
        </row>
        <row r="195">
          <cell r="B195" t="str">
            <v>513021199103250877</v>
          </cell>
          <cell r="C195" t="str">
            <v>男</v>
          </cell>
          <cell r="D195" t="str">
            <v>汉族</v>
          </cell>
          <cell r="E195" t="str">
            <v>小学</v>
          </cell>
          <cell r="F195" t="str">
            <v>未婚</v>
          </cell>
          <cell r="G195" t="str">
            <v>农业</v>
          </cell>
        </row>
        <row r="195">
          <cell r="I195" t="str">
            <v>13778366568</v>
          </cell>
          <cell r="J195" t="str">
            <v>百节镇</v>
          </cell>
          <cell r="K195" t="str">
            <v>三牌社区</v>
          </cell>
          <cell r="L195" t="str">
            <v>四川省达州市达川区百节镇三牌村4组</v>
          </cell>
          <cell r="M195" t="str">
            <v>四川省达州市达川区百节镇三牌村4组</v>
          </cell>
          <cell r="N195" t="str">
            <v>刘官见</v>
          </cell>
          <cell r="O195" t="str">
            <v>父母</v>
          </cell>
        </row>
        <row r="195">
          <cell r="Q195" t="str">
            <v>13778366568</v>
          </cell>
          <cell r="R195" t="str">
            <v>51302119910325087752</v>
          </cell>
          <cell r="S195" t="str">
            <v>智力</v>
          </cell>
          <cell r="T195" t="str">
            <v>二级</v>
          </cell>
          <cell r="U195" t="str">
            <v>智力二级;</v>
          </cell>
        </row>
        <row r="196">
          <cell r="B196" t="str">
            <v>513021195906010860</v>
          </cell>
          <cell r="C196" t="str">
            <v>女</v>
          </cell>
          <cell r="D196" t="str">
            <v>汉族</v>
          </cell>
          <cell r="E196" t="str">
            <v>小学</v>
          </cell>
          <cell r="F196" t="str">
            <v>已婚</v>
          </cell>
          <cell r="G196" t="str">
            <v>农业</v>
          </cell>
        </row>
        <row r="196">
          <cell r="I196" t="str">
            <v>13882887156</v>
          </cell>
          <cell r="J196" t="str">
            <v>百节镇</v>
          </cell>
          <cell r="K196" t="str">
            <v>三牌社区</v>
          </cell>
          <cell r="L196" t="str">
            <v>四川省达州市达川区百节镇观音桥村３组２２号</v>
          </cell>
          <cell r="M196" t="str">
            <v>四川省达州市达川区百节镇观音桥村３组２２号</v>
          </cell>
        </row>
        <row r="196">
          <cell r="R196" t="str">
            <v>51302119590601086044</v>
          </cell>
          <cell r="S196" t="str">
            <v>肢体</v>
          </cell>
          <cell r="T196" t="str">
            <v>四级</v>
          </cell>
          <cell r="U196" t="str">
            <v>肢体四级;</v>
          </cell>
        </row>
        <row r="197">
          <cell r="B197" t="str">
            <v>513021197902040877</v>
          </cell>
          <cell r="C197" t="str">
            <v>男</v>
          </cell>
          <cell r="D197" t="str">
            <v>汉族</v>
          </cell>
          <cell r="E197" t="str">
            <v>小学</v>
          </cell>
          <cell r="F197" t="str">
            <v>未婚</v>
          </cell>
          <cell r="G197" t="str">
            <v>农业</v>
          </cell>
        </row>
        <row r="197">
          <cell r="I197" t="str">
            <v>13079029303</v>
          </cell>
          <cell r="J197" t="str">
            <v>百节镇</v>
          </cell>
          <cell r="K197" t="str">
            <v>三牌社区</v>
          </cell>
          <cell r="L197" t="str">
            <v>四川省达州市达川区百节镇观音桥村３组２３号</v>
          </cell>
          <cell r="M197" t="str">
            <v>四川省达州市达川区百节镇观音桥村３组２３号</v>
          </cell>
          <cell r="N197" t="str">
            <v>潘传贵</v>
          </cell>
          <cell r="O197" t="str">
            <v>父母</v>
          </cell>
        </row>
        <row r="197">
          <cell r="R197" t="str">
            <v>51302119790204087742</v>
          </cell>
          <cell r="S197" t="str">
            <v>肢体</v>
          </cell>
          <cell r="T197" t="str">
            <v>二级</v>
          </cell>
          <cell r="U197" t="str">
            <v>肢体二级;</v>
          </cell>
        </row>
        <row r="198">
          <cell r="B198" t="str">
            <v>513021194211240876</v>
          </cell>
          <cell r="C198" t="str">
            <v>男</v>
          </cell>
          <cell r="D198" t="str">
            <v>汉族</v>
          </cell>
          <cell r="E198" t="str">
            <v>小学</v>
          </cell>
          <cell r="F198" t="str">
            <v>已婚</v>
          </cell>
          <cell r="G198" t="str">
            <v>农业</v>
          </cell>
        </row>
        <row r="198">
          <cell r="I198" t="str">
            <v>18982828311</v>
          </cell>
          <cell r="J198" t="str">
            <v>百节镇</v>
          </cell>
          <cell r="K198" t="str">
            <v>三牌社区</v>
          </cell>
          <cell r="L198" t="str">
            <v>四川省达州市达川区百节镇观音桥村５组１４号</v>
          </cell>
          <cell r="M198" t="str">
            <v>四川省达州市达川区百节镇观音桥村５组１４号</v>
          </cell>
        </row>
        <row r="198">
          <cell r="R198" t="str">
            <v>51302119421124087614</v>
          </cell>
          <cell r="S198" t="str">
            <v>视力</v>
          </cell>
          <cell r="T198" t="str">
            <v>四级</v>
          </cell>
          <cell r="U198" t="str">
            <v>视力四级;</v>
          </cell>
        </row>
        <row r="199">
          <cell r="B199" t="str">
            <v>513021193905260877</v>
          </cell>
          <cell r="C199" t="str">
            <v>男</v>
          </cell>
          <cell r="D199" t="str">
            <v>汉族</v>
          </cell>
          <cell r="E199" t="str">
            <v>文盲</v>
          </cell>
          <cell r="F199" t="str">
            <v>已婚</v>
          </cell>
          <cell r="G199" t="str">
            <v>农业</v>
          </cell>
        </row>
        <row r="199">
          <cell r="I199" t="str">
            <v>17380180269</v>
          </cell>
          <cell r="J199" t="str">
            <v>百节镇</v>
          </cell>
          <cell r="K199" t="str">
            <v>三牌社区</v>
          </cell>
          <cell r="L199" t="str">
            <v>四川省达州市达川区百节镇三牌社区５组４６号</v>
          </cell>
          <cell r="M199" t="str">
            <v>四川省达州市达川区百节镇三牌社区５组４６号</v>
          </cell>
        </row>
        <row r="199">
          <cell r="O199" t="str">
            <v>其他</v>
          </cell>
        </row>
        <row r="199">
          <cell r="R199" t="str">
            <v>51302119390526087744</v>
          </cell>
          <cell r="S199" t="str">
            <v>肢体</v>
          </cell>
          <cell r="T199" t="str">
            <v>四级</v>
          </cell>
          <cell r="U199" t="str">
            <v>肢体四级;</v>
          </cell>
        </row>
        <row r="200">
          <cell r="B200" t="str">
            <v>513021199902210863</v>
          </cell>
          <cell r="C200" t="str">
            <v>女</v>
          </cell>
          <cell r="D200" t="str">
            <v>汉族</v>
          </cell>
          <cell r="E200" t="str">
            <v>小学</v>
          </cell>
          <cell r="F200" t="str">
            <v>未婚</v>
          </cell>
          <cell r="G200" t="str">
            <v>农业</v>
          </cell>
        </row>
        <row r="200">
          <cell r="I200" t="str">
            <v>13458186333</v>
          </cell>
          <cell r="J200" t="str">
            <v>百节镇</v>
          </cell>
          <cell r="K200" t="str">
            <v>三牌社区</v>
          </cell>
          <cell r="L200" t="str">
            <v>四川省达县百节镇三牌村3组６１号</v>
          </cell>
          <cell r="M200" t="str">
            <v>四川省达县百节镇三牌村3组６１号</v>
          </cell>
          <cell r="N200" t="str">
            <v>张均</v>
          </cell>
          <cell r="O200" t="str">
            <v>父母</v>
          </cell>
        </row>
        <row r="200">
          <cell r="Q200" t="str">
            <v>13458186333</v>
          </cell>
          <cell r="R200" t="str">
            <v>51302119990221086314</v>
          </cell>
          <cell r="S200" t="str">
            <v>视力</v>
          </cell>
          <cell r="T200" t="str">
            <v>四级</v>
          </cell>
          <cell r="U200" t="str">
            <v>视力四级;</v>
          </cell>
        </row>
        <row r="201">
          <cell r="B201" t="str">
            <v>513021197208080860</v>
          </cell>
          <cell r="C201" t="str">
            <v>女</v>
          </cell>
          <cell r="D201" t="str">
            <v>汉族</v>
          </cell>
          <cell r="E201" t="str">
            <v>小学</v>
          </cell>
          <cell r="F201" t="str">
            <v>已婚</v>
          </cell>
          <cell r="G201" t="str">
            <v>农业</v>
          </cell>
        </row>
        <row r="201">
          <cell r="I201" t="str">
            <v>15899688907</v>
          </cell>
          <cell r="J201" t="str">
            <v>百节镇</v>
          </cell>
          <cell r="K201" t="str">
            <v>三牌社区</v>
          </cell>
          <cell r="L201" t="str">
            <v>四川省达州市达川区百节镇三牌社区3组４２号</v>
          </cell>
          <cell r="M201" t="str">
            <v>四川省达州市达川区百节镇三牌社区3组４２号</v>
          </cell>
        </row>
        <row r="201">
          <cell r="R201" t="str">
            <v>51302119720808086044</v>
          </cell>
          <cell r="S201" t="str">
            <v>肢体</v>
          </cell>
          <cell r="T201" t="str">
            <v>四级</v>
          </cell>
          <cell r="U201" t="str">
            <v>肢体四级;</v>
          </cell>
        </row>
        <row r="202">
          <cell r="B202" t="str">
            <v>513021197207200883</v>
          </cell>
          <cell r="C202" t="str">
            <v>女</v>
          </cell>
          <cell r="D202" t="str">
            <v>汉族</v>
          </cell>
          <cell r="E202" t="str">
            <v>小学</v>
          </cell>
          <cell r="F202" t="str">
            <v>已婚</v>
          </cell>
          <cell r="G202" t="str">
            <v>农业</v>
          </cell>
        </row>
        <row r="202">
          <cell r="I202" t="str">
            <v>18111793649</v>
          </cell>
          <cell r="J202" t="str">
            <v>百节镇</v>
          </cell>
          <cell r="K202" t="str">
            <v>三牌社区</v>
          </cell>
          <cell r="L202" t="str">
            <v>四川省达县百节镇观音桥村１组６５号</v>
          </cell>
          <cell r="M202" t="str">
            <v>四川省达县百节镇观音桥村１组６５号</v>
          </cell>
        </row>
        <row r="202">
          <cell r="R202" t="str">
            <v>51302119720720088314</v>
          </cell>
          <cell r="S202" t="str">
            <v>视力</v>
          </cell>
          <cell r="T202" t="str">
            <v>四级</v>
          </cell>
          <cell r="U202" t="str">
            <v>视力四级;</v>
          </cell>
        </row>
        <row r="203">
          <cell r="B203" t="str">
            <v>513021195311220877</v>
          </cell>
          <cell r="C203" t="str">
            <v>男</v>
          </cell>
          <cell r="D203" t="str">
            <v>汉族</v>
          </cell>
          <cell r="E203" t="str">
            <v>小学</v>
          </cell>
          <cell r="F203" t="str">
            <v>未婚</v>
          </cell>
          <cell r="G203" t="str">
            <v>农业</v>
          </cell>
        </row>
        <row r="203">
          <cell r="I203" t="str">
            <v>15681493973</v>
          </cell>
          <cell r="J203" t="str">
            <v>百节镇</v>
          </cell>
          <cell r="K203" t="str">
            <v>三牌社区</v>
          </cell>
          <cell r="L203" t="str">
            <v>四川省达州市达川区百节镇三牌村6组５５号</v>
          </cell>
          <cell r="M203" t="str">
            <v>四川省达州市达川区百节镇三牌村6组５５号</v>
          </cell>
        </row>
        <row r="203">
          <cell r="R203" t="str">
            <v>51302119531122087742</v>
          </cell>
          <cell r="S203" t="str">
            <v>肢体</v>
          </cell>
          <cell r="T203" t="str">
            <v>二级</v>
          </cell>
          <cell r="U203" t="str">
            <v>肢体二级;</v>
          </cell>
        </row>
        <row r="204">
          <cell r="B204" t="str">
            <v>513021199201130879</v>
          </cell>
          <cell r="C204" t="str">
            <v>男</v>
          </cell>
          <cell r="D204" t="str">
            <v>汉族</v>
          </cell>
          <cell r="E204" t="str">
            <v>小学</v>
          </cell>
          <cell r="F204" t="str">
            <v>未婚</v>
          </cell>
          <cell r="G204" t="str">
            <v>农业</v>
          </cell>
        </row>
        <row r="204">
          <cell r="J204" t="str">
            <v>百节镇</v>
          </cell>
          <cell r="K204" t="str">
            <v>三牌社区</v>
          </cell>
          <cell r="L204" t="str">
            <v>四川省达县百节镇三牌村６组１１号</v>
          </cell>
          <cell r="M204" t="str">
            <v>四川省达县百节镇三牌村６组１１号</v>
          </cell>
        </row>
        <row r="204">
          <cell r="R204" t="str">
            <v>51302119920113087944</v>
          </cell>
          <cell r="S204" t="str">
            <v>肢体</v>
          </cell>
          <cell r="T204" t="str">
            <v>四级</v>
          </cell>
          <cell r="U204" t="str">
            <v>肢体四级;</v>
          </cell>
        </row>
        <row r="205">
          <cell r="B205" t="str">
            <v>513021198307070865</v>
          </cell>
          <cell r="C205" t="str">
            <v>女</v>
          </cell>
          <cell r="D205" t="str">
            <v>汉族</v>
          </cell>
          <cell r="E205" t="str">
            <v>小学</v>
          </cell>
          <cell r="F205" t="str">
            <v>未婚</v>
          </cell>
          <cell r="G205" t="str">
            <v>农业</v>
          </cell>
        </row>
        <row r="205">
          <cell r="I205" t="str">
            <v>13547232087</v>
          </cell>
          <cell r="J205" t="str">
            <v>百节镇</v>
          </cell>
          <cell r="K205" t="str">
            <v>三牌社区</v>
          </cell>
          <cell r="L205" t="str">
            <v>四川省达州市达川区百节镇三牌村４组２号</v>
          </cell>
          <cell r="M205" t="str">
            <v>四川省达州市达川区百节镇三牌村４组２号</v>
          </cell>
          <cell r="N205" t="str">
            <v>程才山</v>
          </cell>
          <cell r="O205" t="str">
            <v>配偶</v>
          </cell>
        </row>
        <row r="205">
          <cell r="R205" t="str">
            <v>51302119830707086531</v>
          </cell>
          <cell r="S205" t="str">
            <v>言语</v>
          </cell>
          <cell r="T205" t="str">
            <v>一级</v>
          </cell>
          <cell r="U205" t="str">
            <v>言语一级;</v>
          </cell>
        </row>
        <row r="206">
          <cell r="B206" t="str">
            <v>513021195202130864</v>
          </cell>
          <cell r="C206" t="str">
            <v>女</v>
          </cell>
          <cell r="D206" t="str">
            <v>汉族</v>
          </cell>
          <cell r="E206" t="str">
            <v>小学</v>
          </cell>
          <cell r="F206" t="str">
            <v>已婚</v>
          </cell>
          <cell r="G206" t="str">
            <v>农业</v>
          </cell>
        </row>
        <row r="206">
          <cell r="I206" t="str">
            <v>18381860843</v>
          </cell>
          <cell r="J206" t="str">
            <v>百节镇</v>
          </cell>
          <cell r="K206" t="str">
            <v>三牌社区</v>
          </cell>
          <cell r="L206" t="str">
            <v>四川省达州市达川区百节镇三牌村４组５号</v>
          </cell>
          <cell r="M206" t="str">
            <v>四川省达州市达川区百节镇三牌村４组５号</v>
          </cell>
        </row>
        <row r="206">
          <cell r="R206" t="str">
            <v>51302119520213086443</v>
          </cell>
          <cell r="S206" t="str">
            <v>肢体</v>
          </cell>
          <cell r="T206" t="str">
            <v>三级</v>
          </cell>
          <cell r="U206" t="str">
            <v>肢体三级;</v>
          </cell>
        </row>
        <row r="207">
          <cell r="B207" t="str">
            <v>513021195203120860</v>
          </cell>
          <cell r="C207" t="str">
            <v>女</v>
          </cell>
          <cell r="D207" t="str">
            <v>汉族</v>
          </cell>
          <cell r="E207" t="str">
            <v>小学</v>
          </cell>
          <cell r="F207" t="str">
            <v>已婚</v>
          </cell>
          <cell r="G207" t="str">
            <v>农业</v>
          </cell>
        </row>
        <row r="207">
          <cell r="I207" t="str">
            <v>15659763092</v>
          </cell>
          <cell r="J207" t="str">
            <v>百节镇</v>
          </cell>
          <cell r="K207" t="str">
            <v>三牌社区</v>
          </cell>
          <cell r="L207" t="str">
            <v>四川省达州市达川区百节镇三牌村６组４３号</v>
          </cell>
          <cell r="M207" t="str">
            <v>四川省达州市达川区百节镇三牌村６组４３号</v>
          </cell>
        </row>
        <row r="207">
          <cell r="R207" t="str">
            <v>51302119520312086042</v>
          </cell>
          <cell r="S207" t="str">
            <v>肢体</v>
          </cell>
          <cell r="T207" t="str">
            <v>二级</v>
          </cell>
          <cell r="U207" t="str">
            <v>肢体二级;</v>
          </cell>
        </row>
        <row r="208">
          <cell r="B208" t="str">
            <v>513021194908130861</v>
          </cell>
          <cell r="C208" t="str">
            <v>女</v>
          </cell>
          <cell r="D208" t="str">
            <v>汉族</v>
          </cell>
          <cell r="E208" t="str">
            <v>小学</v>
          </cell>
          <cell r="F208" t="str">
            <v>已婚</v>
          </cell>
          <cell r="G208" t="str">
            <v>农业</v>
          </cell>
        </row>
        <row r="208">
          <cell r="I208" t="str">
            <v>15892995808</v>
          </cell>
          <cell r="J208" t="str">
            <v>百节镇</v>
          </cell>
          <cell r="K208" t="str">
            <v>三牌社区</v>
          </cell>
          <cell r="L208" t="str">
            <v>四川省达县百节镇三牌村５组４７号</v>
          </cell>
          <cell r="M208" t="str">
            <v>四川省达县百节镇三牌村５组４７号</v>
          </cell>
        </row>
        <row r="208">
          <cell r="R208" t="str">
            <v>51302119490813086124</v>
          </cell>
          <cell r="S208" t="str">
            <v>听力</v>
          </cell>
          <cell r="T208" t="str">
            <v>四级</v>
          </cell>
          <cell r="U208" t="str">
            <v>听力四级;</v>
          </cell>
        </row>
        <row r="209">
          <cell r="B209" t="str">
            <v>513021196904270866</v>
          </cell>
          <cell r="C209" t="str">
            <v>女</v>
          </cell>
          <cell r="D209" t="str">
            <v>汉族</v>
          </cell>
          <cell r="E209" t="str">
            <v>小学</v>
          </cell>
          <cell r="F209" t="str">
            <v>已婚</v>
          </cell>
          <cell r="G209" t="str">
            <v>农业</v>
          </cell>
        </row>
        <row r="209">
          <cell r="I209" t="str">
            <v>13419095385</v>
          </cell>
          <cell r="J209" t="str">
            <v>百节镇</v>
          </cell>
          <cell r="K209" t="str">
            <v>三牌社区</v>
          </cell>
          <cell r="L209" t="str">
            <v>四川省达州市达川区百节镇三牌村3组６１号</v>
          </cell>
          <cell r="M209" t="str">
            <v>四川省达县百节镇三牌村3组６１号</v>
          </cell>
        </row>
        <row r="209">
          <cell r="R209" t="str">
            <v>51302119690427086614</v>
          </cell>
          <cell r="S209" t="str">
            <v>视力</v>
          </cell>
          <cell r="T209" t="str">
            <v>四级</v>
          </cell>
          <cell r="U209" t="str">
            <v>视力四级;</v>
          </cell>
        </row>
        <row r="210">
          <cell r="B210" t="str">
            <v>513021195001040897</v>
          </cell>
          <cell r="C210" t="str">
            <v>男</v>
          </cell>
          <cell r="D210" t="str">
            <v>汉族</v>
          </cell>
          <cell r="E210" t="str">
            <v>小学</v>
          </cell>
          <cell r="F210" t="str">
            <v>已婚</v>
          </cell>
          <cell r="G210" t="str">
            <v>农业</v>
          </cell>
        </row>
        <row r="210">
          <cell r="I210" t="str">
            <v>18782827527</v>
          </cell>
          <cell r="J210" t="str">
            <v>百节镇</v>
          </cell>
          <cell r="K210" t="str">
            <v>三牌社区</v>
          </cell>
          <cell r="L210" t="str">
            <v>四川省达州市达川区百节镇观音桥村３组１８号</v>
          </cell>
          <cell r="M210" t="str">
            <v>四川省达县百节镇观音桥村３组１８号</v>
          </cell>
        </row>
        <row r="210">
          <cell r="R210" t="str">
            <v>51302119500104089714</v>
          </cell>
          <cell r="S210" t="str">
            <v>视力</v>
          </cell>
          <cell r="T210" t="str">
            <v>四级</v>
          </cell>
          <cell r="U210" t="str">
            <v>视力四级;</v>
          </cell>
        </row>
        <row r="211">
          <cell r="B211" t="str">
            <v>513021196911070870</v>
          </cell>
          <cell r="C211" t="str">
            <v>男</v>
          </cell>
          <cell r="D211" t="str">
            <v>汉族</v>
          </cell>
          <cell r="E211" t="str">
            <v>初中</v>
          </cell>
          <cell r="F211" t="str">
            <v>已婚</v>
          </cell>
          <cell r="G211" t="str">
            <v>农业</v>
          </cell>
        </row>
        <row r="211">
          <cell r="I211" t="str">
            <v>13198447669</v>
          </cell>
          <cell r="J211" t="str">
            <v>百节镇</v>
          </cell>
          <cell r="K211" t="str">
            <v>三牌社区</v>
          </cell>
          <cell r="L211" t="str">
            <v>四川省达州市达川区百节镇三牌社区7组</v>
          </cell>
          <cell r="M211" t="str">
            <v>四川省达州市达川区百节镇三牌社区7组</v>
          </cell>
        </row>
        <row r="211">
          <cell r="R211" t="str">
            <v>51302119691107087042</v>
          </cell>
          <cell r="S211" t="str">
            <v>肢体</v>
          </cell>
          <cell r="T211" t="str">
            <v>二级</v>
          </cell>
          <cell r="U211" t="str">
            <v>肢体二级;</v>
          </cell>
        </row>
        <row r="212">
          <cell r="B212" t="str">
            <v>513021197208280897</v>
          </cell>
          <cell r="C212" t="str">
            <v>男</v>
          </cell>
          <cell r="D212" t="str">
            <v>汉族</v>
          </cell>
          <cell r="E212" t="str">
            <v>小学</v>
          </cell>
          <cell r="F212" t="str">
            <v>已婚</v>
          </cell>
          <cell r="G212" t="str">
            <v>农业</v>
          </cell>
        </row>
        <row r="212">
          <cell r="I212" t="str">
            <v>00000000000</v>
          </cell>
          <cell r="J212" t="str">
            <v>百节镇</v>
          </cell>
          <cell r="K212" t="str">
            <v>三牌社区</v>
          </cell>
          <cell r="L212" t="str">
            <v>四川省达州市达川区百节镇三牌村２组２２号</v>
          </cell>
          <cell r="M212" t="str">
            <v>四川省达县百节镇三牌村２组２２号</v>
          </cell>
        </row>
        <row r="212">
          <cell r="R212" t="str">
            <v>51302119720828089714</v>
          </cell>
          <cell r="S212" t="str">
            <v>视力</v>
          </cell>
          <cell r="T212" t="str">
            <v>四级</v>
          </cell>
          <cell r="U212" t="str">
            <v>视力四级;</v>
          </cell>
        </row>
        <row r="213">
          <cell r="B213" t="str">
            <v>513021196404130904</v>
          </cell>
          <cell r="C213" t="str">
            <v>女</v>
          </cell>
          <cell r="D213" t="str">
            <v>汉族</v>
          </cell>
          <cell r="E213" t="str">
            <v>初中</v>
          </cell>
          <cell r="F213" t="str">
            <v>已婚</v>
          </cell>
          <cell r="G213" t="str">
            <v>农业</v>
          </cell>
        </row>
        <row r="213">
          <cell r="I213" t="str">
            <v>19983738178</v>
          </cell>
          <cell r="J213" t="str">
            <v>百节镇</v>
          </cell>
          <cell r="K213" t="str">
            <v>三牌社区</v>
          </cell>
          <cell r="L213" t="str">
            <v>四川省达州市达川区百节镇观音桥村1组５４号</v>
          </cell>
          <cell r="M213" t="str">
            <v>四川省达州市达川区百节镇观音桥村1组５４号</v>
          </cell>
        </row>
        <row r="213">
          <cell r="R213" t="str">
            <v>51302119640413090443</v>
          </cell>
          <cell r="S213" t="str">
            <v>肢体</v>
          </cell>
          <cell r="T213" t="str">
            <v>三级</v>
          </cell>
          <cell r="U213" t="str">
            <v>肢体三级;</v>
          </cell>
        </row>
        <row r="214">
          <cell r="B214" t="str">
            <v>511721200404194698</v>
          </cell>
          <cell r="C214" t="str">
            <v>男</v>
          </cell>
          <cell r="D214" t="str">
            <v>汉族</v>
          </cell>
          <cell r="E214" t="str">
            <v>小学</v>
          </cell>
          <cell r="F214" t="str">
            <v>未婚</v>
          </cell>
          <cell r="G214" t="str">
            <v>农业</v>
          </cell>
        </row>
        <row r="214">
          <cell r="I214" t="str">
            <v>18981474461</v>
          </cell>
          <cell r="J214" t="str">
            <v>百节镇</v>
          </cell>
          <cell r="K214" t="str">
            <v>三牌社区</v>
          </cell>
          <cell r="L214" t="str">
            <v>四川省达县百节镇三牌社区3组２５号</v>
          </cell>
          <cell r="M214" t="str">
            <v>四川省达县百节镇三牌社区3组２５号</v>
          </cell>
          <cell r="N214" t="str">
            <v>潘传金</v>
          </cell>
          <cell r="O214" t="str">
            <v>父母</v>
          </cell>
        </row>
        <row r="214">
          <cell r="Q214" t="str">
            <v>18981474461</v>
          </cell>
          <cell r="R214" t="str">
            <v>51172120040419469844</v>
          </cell>
          <cell r="S214" t="str">
            <v>肢体</v>
          </cell>
          <cell r="T214" t="str">
            <v>四级</v>
          </cell>
          <cell r="U214" t="str">
            <v>肢体四级;</v>
          </cell>
        </row>
        <row r="215">
          <cell r="B215" t="str">
            <v>513021195303190866</v>
          </cell>
          <cell r="C215" t="str">
            <v>女</v>
          </cell>
          <cell r="D215" t="str">
            <v>汉族</v>
          </cell>
          <cell r="E215" t="str">
            <v>小学</v>
          </cell>
          <cell r="F215" t="str">
            <v>已婚</v>
          </cell>
          <cell r="G215" t="str">
            <v>农业</v>
          </cell>
        </row>
        <row r="215">
          <cell r="I215" t="str">
            <v>15681493935</v>
          </cell>
          <cell r="J215" t="str">
            <v>百节镇</v>
          </cell>
          <cell r="K215" t="str">
            <v>三牌社区</v>
          </cell>
          <cell r="L215" t="str">
            <v>四川省达州市达川区百节镇三牌社区1组２０号</v>
          </cell>
          <cell r="M215" t="str">
            <v>四川省达州市达川区百节镇三牌社区1组２０号</v>
          </cell>
        </row>
        <row r="215">
          <cell r="R215" t="str">
            <v>51302119530319086642B1</v>
          </cell>
          <cell r="S215" t="str">
            <v>肢体</v>
          </cell>
          <cell r="T215" t="str">
            <v>二级</v>
          </cell>
          <cell r="U215" t="str">
            <v>肢体二级;</v>
          </cell>
        </row>
        <row r="216">
          <cell r="B216" t="str">
            <v>513021197603130522</v>
          </cell>
          <cell r="C216" t="str">
            <v>女</v>
          </cell>
          <cell r="D216" t="str">
            <v>汉族</v>
          </cell>
          <cell r="E216" t="str">
            <v>小学</v>
          </cell>
          <cell r="F216" t="str">
            <v>已婚</v>
          </cell>
          <cell r="G216" t="str">
            <v>农业</v>
          </cell>
        </row>
        <row r="216">
          <cell r="I216" t="str">
            <v>18282953269</v>
          </cell>
          <cell r="J216" t="str">
            <v>百节镇</v>
          </cell>
          <cell r="K216" t="str">
            <v>三牌社区</v>
          </cell>
          <cell r="L216" t="str">
            <v>四川省达州市达川区百节镇三牌村４组７号</v>
          </cell>
          <cell r="M216" t="str">
            <v>四川省达州市达川区百节镇三牌村４组７号</v>
          </cell>
          <cell r="N216" t="str">
            <v>张林周</v>
          </cell>
          <cell r="O216" t="str">
            <v>配偶</v>
          </cell>
        </row>
        <row r="216">
          <cell r="Q216" t="str">
            <v>18282953269</v>
          </cell>
          <cell r="R216" t="str">
            <v>51302119760313052262</v>
          </cell>
          <cell r="S216" t="str">
            <v>精神</v>
          </cell>
          <cell r="T216" t="str">
            <v>二级</v>
          </cell>
          <cell r="U216" t="str">
            <v>精神二级;</v>
          </cell>
        </row>
        <row r="217">
          <cell r="B217" t="str">
            <v>513021195503010882</v>
          </cell>
          <cell r="C217" t="str">
            <v>女</v>
          </cell>
          <cell r="D217" t="str">
            <v>汉族</v>
          </cell>
          <cell r="E217" t="str">
            <v>小学</v>
          </cell>
          <cell r="F217" t="str">
            <v>已婚</v>
          </cell>
          <cell r="G217" t="str">
            <v>农业</v>
          </cell>
        </row>
        <row r="217">
          <cell r="I217" t="str">
            <v>000000000</v>
          </cell>
          <cell r="J217" t="str">
            <v>百节镇</v>
          </cell>
          <cell r="K217" t="str">
            <v>三牌社区</v>
          </cell>
          <cell r="L217" t="str">
            <v>四川省达州市达川区百节镇观音桥村7组２０号</v>
          </cell>
          <cell r="M217" t="str">
            <v>四川省达县百节镇观音桥村7组２０号</v>
          </cell>
        </row>
        <row r="217">
          <cell r="R217" t="str">
            <v>51302119550301088244</v>
          </cell>
          <cell r="S217" t="str">
            <v>肢体</v>
          </cell>
          <cell r="T217" t="str">
            <v>四级</v>
          </cell>
          <cell r="U217" t="str">
            <v>肢体四级;</v>
          </cell>
        </row>
        <row r="218">
          <cell r="B218" t="str">
            <v>513021197612160440</v>
          </cell>
          <cell r="C218" t="str">
            <v>女</v>
          </cell>
          <cell r="D218" t="str">
            <v>汉族</v>
          </cell>
          <cell r="E218" t="str">
            <v>小学</v>
          </cell>
          <cell r="F218" t="str">
            <v>未婚</v>
          </cell>
          <cell r="G218" t="str">
            <v>农业</v>
          </cell>
        </row>
        <row r="218">
          <cell r="I218" t="str">
            <v>3431230</v>
          </cell>
          <cell r="J218" t="str">
            <v>百节镇</v>
          </cell>
          <cell r="K218" t="str">
            <v>三牌社区</v>
          </cell>
          <cell r="L218" t="str">
            <v>四川省达县百节镇观音桥村4组</v>
          </cell>
          <cell r="M218" t="str">
            <v>四川省达县石板镇长青村1组</v>
          </cell>
          <cell r="N218" t="str">
            <v>唐平</v>
          </cell>
          <cell r="O218" t="str">
            <v>配偶</v>
          </cell>
        </row>
        <row r="218">
          <cell r="Q218" t="str">
            <v>3431230</v>
          </cell>
          <cell r="R218" t="str">
            <v>51302119761216044053</v>
          </cell>
          <cell r="S218" t="str">
            <v>智力</v>
          </cell>
          <cell r="T218" t="str">
            <v>三级</v>
          </cell>
          <cell r="U218" t="str">
            <v>智力三级;</v>
          </cell>
        </row>
        <row r="219">
          <cell r="B219" t="str">
            <v>513021193903080899</v>
          </cell>
          <cell r="C219" t="str">
            <v>男</v>
          </cell>
          <cell r="D219" t="str">
            <v>汉族</v>
          </cell>
          <cell r="E219" t="str">
            <v>文盲</v>
          </cell>
          <cell r="F219" t="str">
            <v>已婚</v>
          </cell>
          <cell r="G219" t="str">
            <v>农业</v>
          </cell>
        </row>
        <row r="219">
          <cell r="I219" t="str">
            <v>0000000</v>
          </cell>
          <cell r="J219" t="str">
            <v>百节镇</v>
          </cell>
          <cell r="K219" t="str">
            <v>三牌社区</v>
          </cell>
          <cell r="L219" t="str">
            <v>四川省达县百节镇观音桥村１组１４号</v>
          </cell>
          <cell r="M219" t="str">
            <v>四川省达县百节镇观音桥村１组１４号</v>
          </cell>
        </row>
        <row r="219">
          <cell r="R219" t="str">
            <v>51302119390308089943</v>
          </cell>
          <cell r="S219" t="str">
            <v>肢体</v>
          </cell>
          <cell r="T219" t="str">
            <v>三级</v>
          </cell>
          <cell r="U219" t="str">
            <v>肢体三级;</v>
          </cell>
        </row>
        <row r="220">
          <cell r="B220" t="str">
            <v>513021197001070876</v>
          </cell>
          <cell r="C220" t="str">
            <v>男</v>
          </cell>
          <cell r="D220" t="str">
            <v>汉族</v>
          </cell>
          <cell r="E220" t="str">
            <v>小学</v>
          </cell>
          <cell r="F220" t="str">
            <v>已婚</v>
          </cell>
          <cell r="G220" t="str">
            <v>农业</v>
          </cell>
        </row>
        <row r="220">
          <cell r="I220" t="str">
            <v>13619060664</v>
          </cell>
          <cell r="J220" t="str">
            <v>百节镇</v>
          </cell>
          <cell r="K220" t="str">
            <v>三牌社区</v>
          </cell>
          <cell r="L220" t="str">
            <v>四川省达州市达川区百节镇三牌村１组４６号</v>
          </cell>
          <cell r="M220" t="str">
            <v>四川省达州市达川区百节镇三牌村１组４６号</v>
          </cell>
        </row>
        <row r="220">
          <cell r="R220" t="str">
            <v>51302119700107087644</v>
          </cell>
          <cell r="S220" t="str">
            <v>肢体</v>
          </cell>
          <cell r="T220" t="str">
            <v>四级</v>
          </cell>
          <cell r="U220" t="str">
            <v>肢体四级;</v>
          </cell>
        </row>
        <row r="221">
          <cell r="B221" t="str">
            <v>513021195210110871</v>
          </cell>
          <cell r="C221" t="str">
            <v>男</v>
          </cell>
          <cell r="D221" t="str">
            <v>汉族</v>
          </cell>
          <cell r="E221" t="str">
            <v>小学</v>
          </cell>
          <cell r="F221" t="str">
            <v>已婚</v>
          </cell>
          <cell r="G221" t="str">
            <v>农业</v>
          </cell>
        </row>
        <row r="221">
          <cell r="I221" t="str">
            <v>18090910112</v>
          </cell>
          <cell r="J221" t="str">
            <v>百节镇</v>
          </cell>
          <cell r="K221" t="str">
            <v>三牌社区</v>
          </cell>
          <cell r="L221" t="str">
            <v>四川省达州市达川区百节镇三牌社区７组６号</v>
          </cell>
          <cell r="M221" t="str">
            <v>四川省达州市达川区百节镇三牌社区７组６号</v>
          </cell>
        </row>
        <row r="221">
          <cell r="O221" t="str">
            <v>其他</v>
          </cell>
        </row>
        <row r="221">
          <cell r="R221" t="str">
            <v>51302119521011087143</v>
          </cell>
          <cell r="S221" t="str">
            <v>肢体</v>
          </cell>
          <cell r="T221" t="str">
            <v>三级</v>
          </cell>
          <cell r="U221" t="str">
            <v>肢体三级;</v>
          </cell>
        </row>
        <row r="222">
          <cell r="B222" t="str">
            <v>51172120061026006X</v>
          </cell>
          <cell r="C222" t="str">
            <v>女</v>
          </cell>
          <cell r="D222" t="str">
            <v>汉族</v>
          </cell>
          <cell r="E222" t="str">
            <v>文盲</v>
          </cell>
          <cell r="F222" t="str">
            <v>未婚</v>
          </cell>
          <cell r="G222" t="str">
            <v>农业</v>
          </cell>
        </row>
        <row r="222">
          <cell r="I222" t="str">
            <v>18381860843</v>
          </cell>
          <cell r="J222" t="str">
            <v>百节镇</v>
          </cell>
          <cell r="K222" t="str">
            <v>三牌社区</v>
          </cell>
          <cell r="L222" t="str">
            <v>四川省达州市达川区百节镇三牌村4组5号</v>
          </cell>
          <cell r="M222" t="str">
            <v>四川省达州市达川区百节镇三牌村4组5号</v>
          </cell>
          <cell r="N222" t="str">
            <v>张林培</v>
          </cell>
          <cell r="O222" t="str">
            <v>父母</v>
          </cell>
        </row>
        <row r="222">
          <cell r="Q222" t="str">
            <v>18381860843</v>
          </cell>
          <cell r="R222" t="str">
            <v>51172120061026006X51</v>
          </cell>
          <cell r="S222" t="str">
            <v>智力</v>
          </cell>
          <cell r="T222" t="str">
            <v>一级</v>
          </cell>
          <cell r="U222" t="str">
            <v>智力一级;</v>
          </cell>
        </row>
        <row r="223">
          <cell r="B223" t="str">
            <v>513021197404280894</v>
          </cell>
          <cell r="C223" t="str">
            <v>男</v>
          </cell>
          <cell r="D223" t="str">
            <v>汉族</v>
          </cell>
          <cell r="E223" t="str">
            <v>初中</v>
          </cell>
          <cell r="F223" t="str">
            <v>已婚</v>
          </cell>
          <cell r="G223" t="str">
            <v>农业</v>
          </cell>
        </row>
        <row r="223">
          <cell r="I223" t="str">
            <v>17713709969</v>
          </cell>
          <cell r="J223" t="str">
            <v>百节镇</v>
          </cell>
          <cell r="K223" t="str">
            <v>三牌社区</v>
          </cell>
          <cell r="L223" t="str">
            <v>四川省达州市达川区百节镇三牌社区1组３９号</v>
          </cell>
          <cell r="M223" t="str">
            <v>四川省达州市达川区百节镇三牌社区1组３９号</v>
          </cell>
        </row>
        <row r="223">
          <cell r="R223" t="str">
            <v>51302119740428089444</v>
          </cell>
          <cell r="S223" t="str">
            <v>肢体</v>
          </cell>
          <cell r="T223" t="str">
            <v>四级</v>
          </cell>
          <cell r="U223" t="str">
            <v>肢体四级;</v>
          </cell>
        </row>
        <row r="224">
          <cell r="B224" t="str">
            <v>513021196311010866</v>
          </cell>
          <cell r="C224" t="str">
            <v>女</v>
          </cell>
          <cell r="D224" t="str">
            <v>汉族</v>
          </cell>
          <cell r="E224" t="str">
            <v>小学</v>
          </cell>
          <cell r="F224" t="str">
            <v>已婚</v>
          </cell>
          <cell r="G224" t="str">
            <v>农业</v>
          </cell>
        </row>
        <row r="224">
          <cell r="I224" t="str">
            <v>18282920241</v>
          </cell>
          <cell r="J224" t="str">
            <v>百节镇</v>
          </cell>
          <cell r="K224" t="str">
            <v>三牌社区</v>
          </cell>
          <cell r="L224" t="str">
            <v>四川省达州市达川区百节镇三牌村1组８９号</v>
          </cell>
          <cell r="M224" t="str">
            <v>四川省达县百节镇三牌村1组８９号</v>
          </cell>
        </row>
        <row r="224">
          <cell r="R224" t="str">
            <v>51302119631101086614</v>
          </cell>
          <cell r="S224" t="str">
            <v>视力</v>
          </cell>
          <cell r="T224" t="str">
            <v>四级</v>
          </cell>
          <cell r="U224" t="str">
            <v>视力四级;</v>
          </cell>
        </row>
        <row r="225">
          <cell r="B225" t="str">
            <v>513021194709290897</v>
          </cell>
          <cell r="C225" t="str">
            <v>男</v>
          </cell>
          <cell r="D225" t="str">
            <v>汉族</v>
          </cell>
          <cell r="E225" t="str">
            <v>文盲</v>
          </cell>
          <cell r="F225" t="str">
            <v>未婚</v>
          </cell>
          <cell r="G225" t="str">
            <v>农业</v>
          </cell>
        </row>
        <row r="225">
          <cell r="I225" t="str">
            <v>15928259608</v>
          </cell>
          <cell r="J225" t="str">
            <v>百节镇</v>
          </cell>
          <cell r="K225" t="str">
            <v>三牌社区</v>
          </cell>
          <cell r="L225" t="str">
            <v>四川省达州市达川区百节镇观音桥村6组</v>
          </cell>
          <cell r="M225" t="str">
            <v>四川省达县百节镇观音桥村6组</v>
          </cell>
        </row>
        <row r="225">
          <cell r="R225" t="str">
            <v>51302119470929089743</v>
          </cell>
          <cell r="S225" t="str">
            <v>肢体</v>
          </cell>
          <cell r="T225" t="str">
            <v>三级</v>
          </cell>
          <cell r="U225" t="str">
            <v>肢体三级;</v>
          </cell>
        </row>
        <row r="226">
          <cell r="B226" t="str">
            <v>513021194310080863</v>
          </cell>
          <cell r="C226" t="str">
            <v>女</v>
          </cell>
          <cell r="D226" t="str">
            <v>汉族</v>
          </cell>
          <cell r="E226" t="str">
            <v>小学</v>
          </cell>
          <cell r="F226" t="str">
            <v>已婚</v>
          </cell>
          <cell r="G226" t="str">
            <v>农业</v>
          </cell>
        </row>
        <row r="226">
          <cell r="I226" t="str">
            <v>18282963748</v>
          </cell>
          <cell r="J226" t="str">
            <v>百节镇</v>
          </cell>
          <cell r="K226" t="str">
            <v>三牌社区</v>
          </cell>
          <cell r="L226" t="str">
            <v>四川省达州市达川区百节镇三牌社区３组５２号</v>
          </cell>
          <cell r="M226" t="str">
            <v>四川省达州市达川区百节镇三牌社区３组５２号</v>
          </cell>
          <cell r="N226" t="str">
            <v>王贵</v>
          </cell>
          <cell r="O226" t="str">
            <v>子</v>
          </cell>
        </row>
        <row r="226">
          <cell r="Q226" t="str">
            <v>18282963748</v>
          </cell>
          <cell r="R226" t="str">
            <v>51302119431008086344</v>
          </cell>
          <cell r="S226" t="str">
            <v>肢体</v>
          </cell>
          <cell r="T226" t="str">
            <v>四级</v>
          </cell>
          <cell r="U226" t="str">
            <v>肢体四级;</v>
          </cell>
        </row>
        <row r="227">
          <cell r="B227" t="str">
            <v>513021196502040881</v>
          </cell>
          <cell r="C227" t="str">
            <v>女</v>
          </cell>
          <cell r="D227" t="str">
            <v>汉族</v>
          </cell>
          <cell r="E227" t="str">
            <v>小学</v>
          </cell>
          <cell r="F227" t="str">
            <v>已婚</v>
          </cell>
          <cell r="G227" t="str">
            <v>农业</v>
          </cell>
        </row>
        <row r="227">
          <cell r="I227" t="str">
            <v>13684234552</v>
          </cell>
          <cell r="J227" t="str">
            <v>百节镇</v>
          </cell>
          <cell r="K227" t="str">
            <v>三牌社区</v>
          </cell>
          <cell r="L227" t="str">
            <v>四川省达县百节镇观音桥村１组９号</v>
          </cell>
          <cell r="M227" t="str">
            <v>四川省达县百节镇观音桥村１组９号</v>
          </cell>
          <cell r="N227" t="str">
            <v>柏学钢</v>
          </cell>
          <cell r="O227" t="str">
            <v>配偶</v>
          </cell>
        </row>
        <row r="227">
          <cell r="Q227" t="str">
            <v>13684234552</v>
          </cell>
          <cell r="R227" t="str">
            <v>51302119650204088152</v>
          </cell>
          <cell r="S227" t="str">
            <v>智力</v>
          </cell>
          <cell r="T227" t="str">
            <v>二级</v>
          </cell>
          <cell r="U227" t="str">
            <v>智力二级;</v>
          </cell>
        </row>
        <row r="228">
          <cell r="B228" t="str">
            <v>513021197803010445</v>
          </cell>
          <cell r="C228" t="str">
            <v>女</v>
          </cell>
          <cell r="D228" t="str">
            <v>汉族</v>
          </cell>
          <cell r="E228" t="str">
            <v>初中</v>
          </cell>
          <cell r="F228" t="str">
            <v>已婚</v>
          </cell>
          <cell r="G228" t="str">
            <v>农业</v>
          </cell>
        </row>
        <row r="228">
          <cell r="I228" t="str">
            <v>18784896179</v>
          </cell>
          <cell r="J228" t="str">
            <v>百节镇</v>
          </cell>
          <cell r="K228" t="str">
            <v>三牌社区</v>
          </cell>
          <cell r="L228" t="str">
            <v>四川省达州市达川区百节镇三牌村５组５６号</v>
          </cell>
          <cell r="M228" t="str">
            <v>四川省达县百节镇三牌村５组５６号</v>
          </cell>
        </row>
        <row r="228">
          <cell r="R228" t="str">
            <v>51302119780301044521</v>
          </cell>
          <cell r="S228" t="str">
            <v>听力</v>
          </cell>
          <cell r="T228" t="str">
            <v>一级</v>
          </cell>
          <cell r="U228" t="str">
            <v>听力一级;</v>
          </cell>
        </row>
        <row r="229">
          <cell r="B229" t="str">
            <v>513021195201220876</v>
          </cell>
          <cell r="C229" t="str">
            <v>男</v>
          </cell>
          <cell r="D229" t="str">
            <v>汉族</v>
          </cell>
          <cell r="E229" t="str">
            <v>小学</v>
          </cell>
          <cell r="F229" t="str">
            <v>未婚</v>
          </cell>
          <cell r="G229" t="str">
            <v>农业</v>
          </cell>
        </row>
        <row r="229">
          <cell r="I229" t="str">
            <v>13778319575</v>
          </cell>
          <cell r="J229" t="str">
            <v>百节镇</v>
          </cell>
          <cell r="K229" t="str">
            <v>三牌社区</v>
          </cell>
          <cell r="L229" t="str">
            <v>四川省达州市达川区百节镇三牌社区６组１１号</v>
          </cell>
          <cell r="M229" t="str">
            <v>四川省达州市达川区百节镇三牌社区６组１１号</v>
          </cell>
        </row>
        <row r="229">
          <cell r="R229" t="str">
            <v>51302119520122087644</v>
          </cell>
          <cell r="S229" t="str">
            <v>肢体</v>
          </cell>
          <cell r="T229" t="str">
            <v>四级</v>
          </cell>
          <cell r="U229" t="str">
            <v>肢体四级;</v>
          </cell>
        </row>
        <row r="230">
          <cell r="B230" t="str">
            <v>513021195710120873</v>
          </cell>
          <cell r="C230" t="str">
            <v>男</v>
          </cell>
          <cell r="D230" t="str">
            <v>汉族</v>
          </cell>
          <cell r="E230" t="str">
            <v>初中</v>
          </cell>
          <cell r="F230" t="str">
            <v>已婚</v>
          </cell>
          <cell r="G230" t="str">
            <v>农业</v>
          </cell>
        </row>
        <row r="230">
          <cell r="I230" t="str">
            <v>15881846487</v>
          </cell>
          <cell r="J230" t="str">
            <v>百节镇</v>
          </cell>
          <cell r="K230" t="str">
            <v>三牌社区</v>
          </cell>
          <cell r="L230" t="str">
            <v>四川省达州市达川区百节镇三牌村６组６１号</v>
          </cell>
          <cell r="M230" t="str">
            <v>四川省达州市达川区百节镇三牌村６组６１号</v>
          </cell>
        </row>
        <row r="230">
          <cell r="R230" t="str">
            <v>51302119571012087343</v>
          </cell>
          <cell r="S230" t="str">
            <v>肢体</v>
          </cell>
          <cell r="T230" t="str">
            <v>三级</v>
          </cell>
          <cell r="U230" t="str">
            <v>肢体三级;</v>
          </cell>
        </row>
        <row r="231">
          <cell r="B231" t="str">
            <v>513021196601090892</v>
          </cell>
          <cell r="C231" t="str">
            <v>男</v>
          </cell>
          <cell r="D231" t="str">
            <v>汉族</v>
          </cell>
          <cell r="E231" t="str">
            <v>初中</v>
          </cell>
          <cell r="F231" t="str">
            <v>已婚</v>
          </cell>
          <cell r="G231" t="str">
            <v>农业</v>
          </cell>
        </row>
        <row r="231">
          <cell r="I231" t="str">
            <v>00000000</v>
          </cell>
          <cell r="J231" t="str">
            <v>百节镇</v>
          </cell>
          <cell r="K231" t="str">
            <v>三牌社区</v>
          </cell>
          <cell r="L231" t="str">
            <v>四川省达县百节镇三牌村１组８号</v>
          </cell>
          <cell r="M231" t="str">
            <v>四川省达县百节镇三牌村１组８号</v>
          </cell>
        </row>
        <row r="231">
          <cell r="R231" t="str">
            <v>51302119660109089244</v>
          </cell>
          <cell r="S231" t="str">
            <v>肢体</v>
          </cell>
          <cell r="T231" t="str">
            <v>四级</v>
          </cell>
          <cell r="U231" t="str">
            <v>肢体四级;</v>
          </cell>
        </row>
        <row r="232">
          <cell r="B232" t="str">
            <v>513021195812240868</v>
          </cell>
          <cell r="C232" t="str">
            <v>女</v>
          </cell>
          <cell r="D232" t="str">
            <v>汉族</v>
          </cell>
          <cell r="E232" t="str">
            <v>文盲</v>
          </cell>
          <cell r="F232" t="str">
            <v>已婚</v>
          </cell>
          <cell r="G232" t="str">
            <v>农业</v>
          </cell>
        </row>
        <row r="232">
          <cell r="I232" t="str">
            <v>00000</v>
          </cell>
          <cell r="J232" t="str">
            <v>百节镇</v>
          </cell>
          <cell r="K232" t="str">
            <v>三牌社区</v>
          </cell>
          <cell r="L232" t="str">
            <v>四川省达县百节镇观音桥村5组２８号</v>
          </cell>
          <cell r="M232" t="str">
            <v>四川省达县百节镇观音桥村5组２８号</v>
          </cell>
          <cell r="N232" t="str">
            <v>谭坤林</v>
          </cell>
          <cell r="O232" t="str">
            <v>配偶</v>
          </cell>
        </row>
        <row r="232">
          <cell r="Q232" t="str">
            <v>00000</v>
          </cell>
          <cell r="R232" t="str">
            <v>51302119581224086814</v>
          </cell>
          <cell r="S232" t="str">
            <v>视力</v>
          </cell>
          <cell r="T232" t="str">
            <v>四级</v>
          </cell>
          <cell r="U232" t="str">
            <v>视力四级;</v>
          </cell>
        </row>
        <row r="233">
          <cell r="B233" t="str">
            <v>513021196309040871</v>
          </cell>
          <cell r="C233" t="str">
            <v>男</v>
          </cell>
          <cell r="D233" t="str">
            <v>汉族</v>
          </cell>
          <cell r="E233" t="str">
            <v>小学</v>
          </cell>
          <cell r="F233" t="str">
            <v>未婚</v>
          </cell>
          <cell r="G233" t="str">
            <v>农业</v>
          </cell>
        </row>
        <row r="233">
          <cell r="I233" t="str">
            <v>13178075649</v>
          </cell>
          <cell r="J233" t="str">
            <v>百节镇</v>
          </cell>
          <cell r="K233" t="str">
            <v>三牌社区</v>
          </cell>
          <cell r="L233" t="str">
            <v>四川省达州市达川区百节镇三牌村２组３０号</v>
          </cell>
          <cell r="M233" t="str">
            <v>四川省达县百节镇三牌村２组３０号</v>
          </cell>
        </row>
        <row r="233">
          <cell r="R233" t="str">
            <v>51302119630904087144</v>
          </cell>
          <cell r="S233" t="str">
            <v>肢体</v>
          </cell>
          <cell r="T233" t="str">
            <v>四级</v>
          </cell>
          <cell r="U233" t="str">
            <v>肢体四级;</v>
          </cell>
        </row>
        <row r="234">
          <cell r="B234" t="str">
            <v>513021193911110891</v>
          </cell>
          <cell r="C234" t="str">
            <v>男</v>
          </cell>
          <cell r="D234" t="str">
            <v>汉族</v>
          </cell>
          <cell r="E234" t="str">
            <v>文盲</v>
          </cell>
          <cell r="F234" t="str">
            <v>已婚</v>
          </cell>
          <cell r="G234" t="str">
            <v>农业</v>
          </cell>
        </row>
        <row r="234">
          <cell r="I234" t="str">
            <v>13548282337</v>
          </cell>
          <cell r="J234" t="str">
            <v>百节镇</v>
          </cell>
          <cell r="K234" t="str">
            <v>三牌社区</v>
          </cell>
          <cell r="L234" t="str">
            <v>四川省达州市达川区百节镇观音桥村4组40号</v>
          </cell>
          <cell r="M234" t="str">
            <v>四川省达州市达川区百节镇观音桥村4组40号</v>
          </cell>
        </row>
        <row r="234">
          <cell r="R234" t="str">
            <v>51302119391111089112</v>
          </cell>
          <cell r="S234" t="str">
            <v>视力</v>
          </cell>
          <cell r="T234" t="str">
            <v>二级</v>
          </cell>
          <cell r="U234" t="str">
            <v>视力二级;</v>
          </cell>
        </row>
        <row r="235">
          <cell r="B235" t="str">
            <v>513021192702160863</v>
          </cell>
          <cell r="C235" t="str">
            <v>女</v>
          </cell>
          <cell r="D235" t="str">
            <v>汉族</v>
          </cell>
          <cell r="E235" t="str">
            <v>小学</v>
          </cell>
          <cell r="F235" t="str">
            <v>已婚</v>
          </cell>
          <cell r="G235" t="str">
            <v>农业</v>
          </cell>
        </row>
        <row r="235">
          <cell r="I235" t="str">
            <v>13064333605</v>
          </cell>
          <cell r="J235" t="str">
            <v>百节镇</v>
          </cell>
          <cell r="K235" t="str">
            <v>三牌社区</v>
          </cell>
          <cell r="L235" t="str">
            <v>四川省达州市达川区百节镇三牌村４组９号</v>
          </cell>
          <cell r="M235" t="str">
            <v>四川省达县百节镇三牌村４组９号</v>
          </cell>
        </row>
        <row r="235">
          <cell r="R235" t="str">
            <v>51302119270216086341</v>
          </cell>
          <cell r="S235" t="str">
            <v>肢体</v>
          </cell>
          <cell r="T235" t="str">
            <v>一级</v>
          </cell>
          <cell r="U235" t="str">
            <v>肢体一级;</v>
          </cell>
        </row>
        <row r="236">
          <cell r="B236" t="str">
            <v>511721200811094678</v>
          </cell>
          <cell r="C236" t="str">
            <v>男</v>
          </cell>
          <cell r="D236" t="str">
            <v>汉族</v>
          </cell>
          <cell r="E236" t="str">
            <v>文盲</v>
          </cell>
          <cell r="F236" t="str">
            <v>未婚</v>
          </cell>
          <cell r="G236" t="str">
            <v>农业</v>
          </cell>
        </row>
        <row r="236">
          <cell r="I236" t="str">
            <v>13114277819</v>
          </cell>
          <cell r="J236" t="str">
            <v>百节镇</v>
          </cell>
          <cell r="K236" t="str">
            <v>三牌社区</v>
          </cell>
          <cell r="L236" t="str">
            <v>四川省达县百节镇三牌村6组４６号</v>
          </cell>
          <cell r="M236" t="str">
            <v>四川省达县百节镇三牌村6组４６号</v>
          </cell>
          <cell r="N236" t="str">
            <v>黎志兵</v>
          </cell>
          <cell r="O236" t="str">
            <v>父母</v>
          </cell>
        </row>
        <row r="236">
          <cell r="Q236" t="str">
            <v>13114277819</v>
          </cell>
          <cell r="R236" t="str">
            <v>51172120081109467871</v>
          </cell>
          <cell r="S236" t="str">
            <v>多重</v>
          </cell>
          <cell r="T236" t="str">
            <v>一级</v>
          </cell>
          <cell r="U236" t="str">
            <v>听力一级;言语一级;</v>
          </cell>
        </row>
        <row r="237">
          <cell r="B237" t="str">
            <v>513021197203200894</v>
          </cell>
          <cell r="C237" t="str">
            <v>男</v>
          </cell>
          <cell r="D237" t="str">
            <v>汉族</v>
          </cell>
          <cell r="E237" t="str">
            <v>小学</v>
          </cell>
          <cell r="F237" t="str">
            <v>未婚</v>
          </cell>
          <cell r="G237" t="str">
            <v>农业</v>
          </cell>
        </row>
        <row r="237">
          <cell r="I237" t="str">
            <v>13778339969</v>
          </cell>
          <cell r="J237" t="str">
            <v>百节镇</v>
          </cell>
          <cell r="K237" t="str">
            <v>三牌社区</v>
          </cell>
          <cell r="L237" t="str">
            <v>四川省达州市达川区百节镇观音桥村4组２３号</v>
          </cell>
          <cell r="M237" t="str">
            <v>四川省达州市达川区百节镇观音桥村4组２３号</v>
          </cell>
        </row>
        <row r="237">
          <cell r="R237" t="str">
            <v>51302119720320089443</v>
          </cell>
          <cell r="S237" t="str">
            <v>肢体</v>
          </cell>
          <cell r="T237" t="str">
            <v>三级</v>
          </cell>
          <cell r="U237" t="str">
            <v>肢体三级;</v>
          </cell>
        </row>
        <row r="238">
          <cell r="B238" t="str">
            <v>513021195304030880</v>
          </cell>
          <cell r="C238" t="str">
            <v>女</v>
          </cell>
          <cell r="D238" t="str">
            <v>汉族</v>
          </cell>
          <cell r="E238" t="str">
            <v>小学</v>
          </cell>
          <cell r="F238" t="str">
            <v>已婚</v>
          </cell>
          <cell r="G238" t="str">
            <v>农业</v>
          </cell>
        </row>
        <row r="238">
          <cell r="I238" t="str">
            <v>18780899021</v>
          </cell>
          <cell r="J238" t="str">
            <v>百节镇</v>
          </cell>
          <cell r="K238" t="str">
            <v>三牌社区</v>
          </cell>
          <cell r="L238" t="str">
            <v>四川省达州市达川区百节镇三牌村４组３６号</v>
          </cell>
          <cell r="M238" t="str">
            <v>四川省达州市达川区百节镇三牌村４组３６号</v>
          </cell>
        </row>
        <row r="238">
          <cell r="R238" t="str">
            <v>51302119530403088073</v>
          </cell>
          <cell r="S238" t="str">
            <v>多重</v>
          </cell>
          <cell r="T238" t="str">
            <v>三级</v>
          </cell>
          <cell r="U238" t="str">
            <v>视力三级;肢体四级;</v>
          </cell>
        </row>
        <row r="239">
          <cell r="B239" t="str">
            <v>513021195611140879</v>
          </cell>
          <cell r="C239" t="str">
            <v>男</v>
          </cell>
          <cell r="D239" t="str">
            <v>汉族</v>
          </cell>
          <cell r="E239" t="str">
            <v>初中</v>
          </cell>
          <cell r="F239" t="str">
            <v>已婚</v>
          </cell>
          <cell r="G239" t="str">
            <v>农业</v>
          </cell>
        </row>
        <row r="239">
          <cell r="I239" t="str">
            <v>000000</v>
          </cell>
          <cell r="J239" t="str">
            <v>百节镇</v>
          </cell>
          <cell r="K239" t="str">
            <v>三牌社区</v>
          </cell>
          <cell r="L239" t="str">
            <v>四川省达县百节镇三牌村２组８号</v>
          </cell>
          <cell r="M239" t="str">
            <v>四川省达县百节镇三牌村２组８号</v>
          </cell>
        </row>
        <row r="239">
          <cell r="R239" t="str">
            <v>51302119561114087944</v>
          </cell>
          <cell r="S239" t="str">
            <v>肢体</v>
          </cell>
          <cell r="T239" t="str">
            <v>四级</v>
          </cell>
          <cell r="U239" t="str">
            <v>肢体四级;</v>
          </cell>
        </row>
        <row r="240">
          <cell r="B240" t="str">
            <v>51302119380806089X</v>
          </cell>
          <cell r="C240" t="str">
            <v>男</v>
          </cell>
          <cell r="D240" t="str">
            <v>汉族</v>
          </cell>
          <cell r="E240" t="str">
            <v>小学</v>
          </cell>
          <cell r="F240" t="str">
            <v>丧偶</v>
          </cell>
          <cell r="G240" t="str">
            <v>农业</v>
          </cell>
        </row>
        <row r="240">
          <cell r="I240" t="str">
            <v>13551410089</v>
          </cell>
          <cell r="J240" t="str">
            <v>百节镇</v>
          </cell>
          <cell r="K240" t="str">
            <v>三牌社区</v>
          </cell>
          <cell r="L240" t="str">
            <v>四川省达州市达川区百节镇观音桥村４组３１号</v>
          </cell>
          <cell r="M240" t="str">
            <v>四川省达县百节镇观音桥村４组３１号</v>
          </cell>
        </row>
        <row r="240">
          <cell r="R240" t="str">
            <v>51302119380806089X43</v>
          </cell>
          <cell r="S240" t="str">
            <v>肢体</v>
          </cell>
          <cell r="T240" t="str">
            <v>三级</v>
          </cell>
          <cell r="U240" t="str">
            <v>肢体三级;</v>
          </cell>
        </row>
        <row r="241">
          <cell r="B241" t="str">
            <v>513021194501110893</v>
          </cell>
          <cell r="C241" t="str">
            <v>男</v>
          </cell>
          <cell r="D241" t="str">
            <v>汉族</v>
          </cell>
          <cell r="E241" t="str">
            <v>小学</v>
          </cell>
          <cell r="F241" t="str">
            <v>已婚</v>
          </cell>
          <cell r="G241" t="str">
            <v>农业</v>
          </cell>
        </row>
        <row r="241">
          <cell r="I241" t="str">
            <v>13508268196</v>
          </cell>
          <cell r="J241" t="str">
            <v>百节镇</v>
          </cell>
          <cell r="K241" t="str">
            <v>三牌社区</v>
          </cell>
          <cell r="L241" t="str">
            <v>四川省达州市达川区百节镇观音桥村2组28号</v>
          </cell>
          <cell r="M241" t="str">
            <v>四川省达州市达川区百节镇观音桥村2组28号</v>
          </cell>
        </row>
        <row r="241">
          <cell r="R241" t="str">
            <v>51302119450111089323</v>
          </cell>
          <cell r="S241" t="str">
            <v>听力</v>
          </cell>
          <cell r="T241" t="str">
            <v>三级</v>
          </cell>
          <cell r="U241" t="str">
            <v>听力三级;</v>
          </cell>
        </row>
        <row r="242">
          <cell r="B242" t="str">
            <v>513021196403030872</v>
          </cell>
          <cell r="C242" t="str">
            <v>男</v>
          </cell>
          <cell r="D242" t="str">
            <v>汉族</v>
          </cell>
          <cell r="E242" t="str">
            <v>初中</v>
          </cell>
          <cell r="F242" t="str">
            <v>已婚</v>
          </cell>
          <cell r="G242" t="str">
            <v>农业</v>
          </cell>
        </row>
        <row r="242">
          <cell r="I242" t="str">
            <v>0000000000</v>
          </cell>
          <cell r="J242" t="str">
            <v>百节镇</v>
          </cell>
          <cell r="K242" t="str">
            <v>三牌社区</v>
          </cell>
          <cell r="L242" t="str">
            <v>四川省达县百节镇观音桥村１组１号</v>
          </cell>
          <cell r="M242" t="str">
            <v>四川省达县百节镇观音桥村１组１号</v>
          </cell>
        </row>
        <row r="242">
          <cell r="R242" t="str">
            <v>51302119640303087241</v>
          </cell>
          <cell r="S242" t="str">
            <v>肢体</v>
          </cell>
          <cell r="T242" t="str">
            <v>一级</v>
          </cell>
          <cell r="U242" t="str">
            <v>肢体一级;</v>
          </cell>
        </row>
        <row r="243">
          <cell r="B243" t="str">
            <v>513021197002130877</v>
          </cell>
          <cell r="C243" t="str">
            <v>男</v>
          </cell>
          <cell r="D243" t="str">
            <v>汉族</v>
          </cell>
          <cell r="E243" t="str">
            <v>小学</v>
          </cell>
          <cell r="F243" t="str">
            <v>未婚</v>
          </cell>
          <cell r="G243" t="str">
            <v>农业</v>
          </cell>
        </row>
        <row r="243">
          <cell r="I243" t="str">
            <v>13392739948</v>
          </cell>
          <cell r="J243" t="str">
            <v>百节镇</v>
          </cell>
          <cell r="K243" t="str">
            <v>三牌社区</v>
          </cell>
          <cell r="L243" t="str">
            <v>四川省达州市达川区百节镇三牌村４组２８号</v>
          </cell>
          <cell r="M243" t="str">
            <v>四川省达县百节镇三牌村４组２８号</v>
          </cell>
          <cell r="N243" t="str">
            <v>潘传伟</v>
          </cell>
          <cell r="O243" t="str">
            <v>兄/弟/姐/妹</v>
          </cell>
        </row>
        <row r="243">
          <cell r="Q243" t="str">
            <v>13392739948</v>
          </cell>
          <cell r="R243" t="str">
            <v>51302119700213087754</v>
          </cell>
          <cell r="S243" t="str">
            <v>智力</v>
          </cell>
          <cell r="T243" t="str">
            <v>四级</v>
          </cell>
          <cell r="U243" t="str">
            <v>智力四级;</v>
          </cell>
        </row>
        <row r="244">
          <cell r="B244" t="str">
            <v>513021194504030864</v>
          </cell>
          <cell r="C244" t="str">
            <v>女</v>
          </cell>
          <cell r="D244" t="str">
            <v>汉族</v>
          </cell>
          <cell r="E244" t="str">
            <v>小学</v>
          </cell>
          <cell r="F244" t="str">
            <v>已婚</v>
          </cell>
          <cell r="G244" t="str">
            <v>农业</v>
          </cell>
        </row>
        <row r="244">
          <cell r="I244" t="str">
            <v>0000000000</v>
          </cell>
          <cell r="J244" t="str">
            <v>百节镇</v>
          </cell>
          <cell r="K244" t="str">
            <v>三牌社区</v>
          </cell>
          <cell r="L244" t="str">
            <v>四川省达州市达川区百节镇三牌村４组２８号</v>
          </cell>
          <cell r="M244" t="str">
            <v>四川省达州市达川区百节镇三牌村４组２８号</v>
          </cell>
          <cell r="N244" t="str">
            <v>潘广龙</v>
          </cell>
          <cell r="O244" t="str">
            <v>其他</v>
          </cell>
        </row>
        <row r="244">
          <cell r="Q244" t="str">
            <v>000000000</v>
          </cell>
          <cell r="R244" t="str">
            <v>51302119450403086462</v>
          </cell>
          <cell r="S244" t="str">
            <v>精神</v>
          </cell>
          <cell r="T244" t="str">
            <v>二级</v>
          </cell>
          <cell r="U244" t="str">
            <v>精神二级;</v>
          </cell>
        </row>
        <row r="245">
          <cell r="B245" t="str">
            <v>513021197310040873</v>
          </cell>
          <cell r="C245" t="str">
            <v>男</v>
          </cell>
          <cell r="D245" t="str">
            <v>汉族</v>
          </cell>
          <cell r="E245" t="str">
            <v>小学</v>
          </cell>
          <cell r="F245" t="str">
            <v>已婚</v>
          </cell>
          <cell r="G245" t="str">
            <v>农业</v>
          </cell>
        </row>
        <row r="245">
          <cell r="I245" t="str">
            <v>0000000000</v>
          </cell>
          <cell r="J245" t="str">
            <v>百节镇</v>
          </cell>
          <cell r="K245" t="str">
            <v>三牌社区</v>
          </cell>
          <cell r="L245" t="str">
            <v>四川省达县百节镇三牌村６组４１号</v>
          </cell>
          <cell r="M245" t="str">
            <v>四川省达县百节镇三牌村６组４１号</v>
          </cell>
        </row>
        <row r="245">
          <cell r="R245" t="str">
            <v>51302119731004087344</v>
          </cell>
          <cell r="S245" t="str">
            <v>肢体</v>
          </cell>
          <cell r="T245" t="str">
            <v>四级</v>
          </cell>
          <cell r="U245" t="str">
            <v>肢体四级;</v>
          </cell>
        </row>
        <row r="246">
          <cell r="B246" t="str">
            <v>51302119540710087X</v>
          </cell>
          <cell r="C246" t="str">
            <v>男</v>
          </cell>
          <cell r="D246" t="str">
            <v>汉族</v>
          </cell>
          <cell r="E246" t="str">
            <v>小学</v>
          </cell>
          <cell r="F246" t="str">
            <v>已婚</v>
          </cell>
          <cell r="G246" t="str">
            <v>农业</v>
          </cell>
        </row>
        <row r="246">
          <cell r="I246" t="str">
            <v>18780889541</v>
          </cell>
          <cell r="J246" t="str">
            <v>百节镇</v>
          </cell>
          <cell r="K246" t="str">
            <v>三牌社区</v>
          </cell>
          <cell r="L246" t="str">
            <v>四川省达州市达川区百节镇观音桥村1组１６号</v>
          </cell>
          <cell r="M246" t="str">
            <v>四川省达州市达川区百节镇观音桥村1组１６号</v>
          </cell>
        </row>
        <row r="246">
          <cell r="R246" t="str">
            <v>51302119540710087X44</v>
          </cell>
          <cell r="S246" t="str">
            <v>肢体</v>
          </cell>
          <cell r="T246" t="str">
            <v>四级</v>
          </cell>
          <cell r="U246" t="str">
            <v>肢体四级;</v>
          </cell>
        </row>
        <row r="247">
          <cell r="B247" t="str">
            <v>513021197005150881</v>
          </cell>
          <cell r="C247" t="str">
            <v>女</v>
          </cell>
          <cell r="D247" t="str">
            <v>汉族</v>
          </cell>
          <cell r="E247" t="str">
            <v>小学</v>
          </cell>
          <cell r="F247" t="str">
            <v>已婚</v>
          </cell>
          <cell r="G247" t="str">
            <v>农业</v>
          </cell>
        </row>
        <row r="247">
          <cell r="I247" t="str">
            <v>18782877880</v>
          </cell>
          <cell r="J247" t="str">
            <v>百节镇</v>
          </cell>
          <cell r="K247" t="str">
            <v>三牌社区</v>
          </cell>
          <cell r="L247" t="str">
            <v>四川省达州市达川百节镇三牌村6组38号</v>
          </cell>
          <cell r="M247" t="str">
            <v>四川省达州市达川百节镇三牌村6组38号</v>
          </cell>
        </row>
        <row r="247">
          <cell r="R247" t="str">
            <v>51302119700515088144</v>
          </cell>
          <cell r="S247" t="str">
            <v>肢体</v>
          </cell>
          <cell r="T247" t="str">
            <v>四级</v>
          </cell>
          <cell r="U247" t="str">
            <v>肢体四级;</v>
          </cell>
        </row>
        <row r="248">
          <cell r="B248" t="str">
            <v>513021197808030963</v>
          </cell>
          <cell r="C248" t="str">
            <v>女</v>
          </cell>
          <cell r="D248" t="str">
            <v>汉族</v>
          </cell>
          <cell r="E248" t="str">
            <v>小学</v>
          </cell>
          <cell r="F248" t="str">
            <v>已婚</v>
          </cell>
          <cell r="G248" t="str">
            <v>农业</v>
          </cell>
        </row>
        <row r="248">
          <cell r="I248" t="str">
            <v>13404041986</v>
          </cell>
          <cell r="J248" t="str">
            <v>百节镇</v>
          </cell>
          <cell r="K248" t="str">
            <v>三牌社区</v>
          </cell>
          <cell r="L248" t="str">
            <v>四川省达州市达川区百节镇三牌村5组20号</v>
          </cell>
          <cell r="M248" t="str">
            <v>四川省达州市达川区百节镇三牌村5组20号</v>
          </cell>
          <cell r="N248" t="str">
            <v>李从珍</v>
          </cell>
          <cell r="O248" t="str">
            <v>子</v>
          </cell>
        </row>
        <row r="248">
          <cell r="Q248" t="str">
            <v>13404041986</v>
          </cell>
          <cell r="R248" t="str">
            <v>51302119780803096363</v>
          </cell>
          <cell r="S248" t="str">
            <v>精神</v>
          </cell>
          <cell r="T248" t="str">
            <v>三级</v>
          </cell>
          <cell r="U248" t="str">
            <v>精神三级;</v>
          </cell>
        </row>
        <row r="249">
          <cell r="B249" t="str">
            <v>513021196306070872</v>
          </cell>
          <cell r="C249" t="str">
            <v>男</v>
          </cell>
          <cell r="D249" t="str">
            <v>汉族</v>
          </cell>
          <cell r="E249" t="str">
            <v>小学</v>
          </cell>
          <cell r="F249" t="str">
            <v>已婚</v>
          </cell>
          <cell r="G249" t="str">
            <v>农业</v>
          </cell>
        </row>
        <row r="249">
          <cell r="I249" t="str">
            <v>15884736921</v>
          </cell>
          <cell r="J249" t="str">
            <v>百节镇</v>
          </cell>
          <cell r="K249" t="str">
            <v>三牌社区</v>
          </cell>
          <cell r="L249" t="str">
            <v>四川省达州市达川区百节镇观音桥村１组２５号</v>
          </cell>
          <cell r="M249" t="str">
            <v>四川省达县百节镇观音桥村１组２５号</v>
          </cell>
        </row>
        <row r="249">
          <cell r="R249" t="str">
            <v>51302119630607087243</v>
          </cell>
          <cell r="S249" t="str">
            <v>肢体</v>
          </cell>
          <cell r="T249" t="str">
            <v>三级</v>
          </cell>
          <cell r="U249" t="str">
            <v>肢体三级;</v>
          </cell>
        </row>
        <row r="250">
          <cell r="B250" t="str">
            <v>513021195503100861</v>
          </cell>
          <cell r="C250" t="str">
            <v>女</v>
          </cell>
          <cell r="D250" t="str">
            <v>汉族</v>
          </cell>
          <cell r="E250" t="str">
            <v>文盲</v>
          </cell>
          <cell r="F250" t="str">
            <v>已婚</v>
          </cell>
          <cell r="G250" t="str">
            <v>农业</v>
          </cell>
        </row>
        <row r="250">
          <cell r="I250" t="str">
            <v>18981456430</v>
          </cell>
          <cell r="J250" t="str">
            <v>百节镇</v>
          </cell>
          <cell r="K250" t="str">
            <v>三牌社区</v>
          </cell>
          <cell r="L250" t="str">
            <v>四川省达州市达川区百节镇观音桥村3组18号</v>
          </cell>
          <cell r="M250" t="str">
            <v>四川省达州市达川区百节镇观音桥村3组18号</v>
          </cell>
          <cell r="N250" t="str">
            <v>杨雄才</v>
          </cell>
          <cell r="O250" t="str">
            <v>配偶</v>
          </cell>
        </row>
        <row r="250">
          <cell r="Q250" t="str">
            <v>18981456430</v>
          </cell>
          <cell r="R250" t="str">
            <v>51302119550310086162</v>
          </cell>
          <cell r="S250" t="str">
            <v>精神</v>
          </cell>
          <cell r="T250" t="str">
            <v>二级</v>
          </cell>
          <cell r="U250" t="str">
            <v>精神二级;</v>
          </cell>
        </row>
        <row r="251">
          <cell r="B251" t="str">
            <v>513021193806190877</v>
          </cell>
          <cell r="C251" t="str">
            <v>男</v>
          </cell>
          <cell r="D251" t="str">
            <v>汉族</v>
          </cell>
          <cell r="E251" t="str">
            <v>小学</v>
          </cell>
          <cell r="F251" t="str">
            <v>未婚</v>
          </cell>
          <cell r="G251" t="str">
            <v>农业</v>
          </cell>
        </row>
        <row r="251">
          <cell r="I251" t="str">
            <v>000000000</v>
          </cell>
          <cell r="J251" t="str">
            <v>百节镇</v>
          </cell>
          <cell r="K251" t="str">
            <v>三牌社区</v>
          </cell>
          <cell r="L251" t="str">
            <v>四川省达县百节镇三牌村１组４７号</v>
          </cell>
          <cell r="M251" t="str">
            <v>四川省达县百节镇三牌村１组４７号</v>
          </cell>
        </row>
        <row r="251">
          <cell r="R251" t="str">
            <v>51302119380619087744</v>
          </cell>
          <cell r="S251" t="str">
            <v>肢体</v>
          </cell>
          <cell r="T251" t="str">
            <v>四级</v>
          </cell>
          <cell r="U251" t="str">
            <v>肢体四级;</v>
          </cell>
        </row>
        <row r="252">
          <cell r="B252" t="str">
            <v>513021195109150879</v>
          </cell>
          <cell r="C252" t="str">
            <v>男</v>
          </cell>
          <cell r="D252" t="str">
            <v>汉族</v>
          </cell>
          <cell r="E252" t="str">
            <v>文盲</v>
          </cell>
          <cell r="F252" t="str">
            <v>已婚</v>
          </cell>
          <cell r="G252" t="str">
            <v>农业</v>
          </cell>
        </row>
        <row r="252">
          <cell r="I252" t="str">
            <v>0000000000</v>
          </cell>
          <cell r="J252" t="str">
            <v>百节镇</v>
          </cell>
          <cell r="K252" t="str">
            <v>三牌社区</v>
          </cell>
          <cell r="L252" t="str">
            <v>四川省达县百节镇三牌村５组４８号</v>
          </cell>
          <cell r="M252" t="str">
            <v>四川省达县百节镇三牌村５组４８号</v>
          </cell>
        </row>
        <row r="252">
          <cell r="R252" t="str">
            <v>51302119510915087913</v>
          </cell>
          <cell r="S252" t="str">
            <v>视力</v>
          </cell>
          <cell r="T252" t="str">
            <v>三级</v>
          </cell>
          <cell r="U252" t="str">
            <v>视力三级;</v>
          </cell>
        </row>
        <row r="253">
          <cell r="B253" t="str">
            <v>513021196411280919</v>
          </cell>
          <cell r="C253" t="str">
            <v>男</v>
          </cell>
          <cell r="D253" t="str">
            <v>汉族</v>
          </cell>
          <cell r="E253" t="str">
            <v>小学</v>
          </cell>
          <cell r="F253" t="str">
            <v>未婚</v>
          </cell>
          <cell r="G253" t="str">
            <v>农业</v>
          </cell>
        </row>
        <row r="253">
          <cell r="I253" t="str">
            <v>00000000000</v>
          </cell>
          <cell r="J253" t="str">
            <v>百节镇</v>
          </cell>
          <cell r="K253" t="str">
            <v>三牌社区</v>
          </cell>
          <cell r="L253" t="str">
            <v>四川省达县百节镇观音桥村６组３２号</v>
          </cell>
          <cell r="M253" t="str">
            <v>四川省达县百节镇观音桥村６组３２号</v>
          </cell>
        </row>
        <row r="253">
          <cell r="R253" t="str">
            <v>51302119641128091941</v>
          </cell>
          <cell r="S253" t="str">
            <v>肢体</v>
          </cell>
          <cell r="T253" t="str">
            <v>一级</v>
          </cell>
          <cell r="U253" t="str">
            <v>肢体一级;</v>
          </cell>
        </row>
        <row r="254">
          <cell r="B254" t="str">
            <v>513021194408220860</v>
          </cell>
          <cell r="C254" t="str">
            <v>女</v>
          </cell>
          <cell r="D254" t="str">
            <v>汉族</v>
          </cell>
          <cell r="E254" t="str">
            <v>小学</v>
          </cell>
          <cell r="F254" t="str">
            <v>未婚</v>
          </cell>
          <cell r="G254" t="str">
            <v>农业</v>
          </cell>
        </row>
        <row r="254">
          <cell r="I254" t="str">
            <v>0000000</v>
          </cell>
          <cell r="J254" t="str">
            <v>百节镇</v>
          </cell>
          <cell r="K254" t="str">
            <v>三牌社区</v>
          </cell>
          <cell r="L254" t="str">
            <v>四川省达县百节镇三牌村５组４１号</v>
          </cell>
          <cell r="M254" t="str">
            <v>四川省达县百节镇三牌村５组４１号</v>
          </cell>
        </row>
        <row r="254">
          <cell r="R254" t="str">
            <v>51302119440822086012</v>
          </cell>
          <cell r="S254" t="str">
            <v>视力</v>
          </cell>
          <cell r="T254" t="str">
            <v>二级</v>
          </cell>
          <cell r="U254" t="str">
            <v>视力二级;</v>
          </cell>
        </row>
        <row r="255">
          <cell r="B255" t="str">
            <v>513021195509050877</v>
          </cell>
          <cell r="C255" t="str">
            <v>男</v>
          </cell>
          <cell r="D255" t="str">
            <v>汉族</v>
          </cell>
          <cell r="E255" t="str">
            <v>小学</v>
          </cell>
          <cell r="F255" t="str">
            <v>已婚</v>
          </cell>
          <cell r="G255" t="str">
            <v>农业</v>
          </cell>
        </row>
        <row r="255">
          <cell r="I255" t="str">
            <v>13551476307</v>
          </cell>
          <cell r="J255" t="str">
            <v>百节镇</v>
          </cell>
          <cell r="K255" t="str">
            <v>三牌社区</v>
          </cell>
          <cell r="L255" t="str">
            <v>四川省达县百节镇三牌村６组５７号</v>
          </cell>
          <cell r="M255" t="str">
            <v>四川省达县百节镇三牌村６组５７号</v>
          </cell>
        </row>
        <row r="255">
          <cell r="R255" t="str">
            <v>51302119550905087744</v>
          </cell>
          <cell r="S255" t="str">
            <v>肢体</v>
          </cell>
          <cell r="T255" t="str">
            <v>四级</v>
          </cell>
          <cell r="U255" t="str">
            <v>肢体四级;</v>
          </cell>
        </row>
        <row r="256">
          <cell r="B256" t="str">
            <v>513021195511140871</v>
          </cell>
          <cell r="C256" t="str">
            <v>男</v>
          </cell>
          <cell r="D256" t="str">
            <v>汉族</v>
          </cell>
          <cell r="E256" t="str">
            <v>小学</v>
          </cell>
          <cell r="F256" t="str">
            <v>已婚</v>
          </cell>
          <cell r="G256" t="str">
            <v>农业</v>
          </cell>
        </row>
        <row r="256">
          <cell r="I256" t="str">
            <v>18228631189</v>
          </cell>
          <cell r="J256" t="str">
            <v>百节镇</v>
          </cell>
          <cell r="K256" t="str">
            <v>三牌社区</v>
          </cell>
          <cell r="L256" t="str">
            <v>四川省达州市达川区百节镇观音桥村2组34号</v>
          </cell>
          <cell r="M256" t="str">
            <v>四川省达州市达川区百节镇观音桥村2组34号</v>
          </cell>
        </row>
        <row r="256">
          <cell r="R256" t="str">
            <v>51302119551114087123</v>
          </cell>
          <cell r="S256" t="str">
            <v>听力</v>
          </cell>
          <cell r="T256" t="str">
            <v>三级</v>
          </cell>
          <cell r="U256" t="str">
            <v>听力三级;</v>
          </cell>
        </row>
        <row r="257">
          <cell r="B257" t="str">
            <v>513021194708030866</v>
          </cell>
          <cell r="C257" t="str">
            <v>女</v>
          </cell>
          <cell r="D257" t="str">
            <v>汉族</v>
          </cell>
          <cell r="E257" t="str">
            <v>小学</v>
          </cell>
          <cell r="F257" t="str">
            <v>已婚</v>
          </cell>
          <cell r="G257" t="str">
            <v>农业</v>
          </cell>
        </row>
        <row r="257">
          <cell r="I257" t="str">
            <v>13547246506</v>
          </cell>
          <cell r="J257" t="str">
            <v>百节镇</v>
          </cell>
          <cell r="K257" t="str">
            <v>三牌社区</v>
          </cell>
          <cell r="L257" t="str">
            <v>四川省达县百节镇三牌村1组７４号</v>
          </cell>
          <cell r="M257" t="str">
            <v>四川省达县百节镇三牌村1组７４号</v>
          </cell>
          <cell r="N257" t="str">
            <v>杨甫华</v>
          </cell>
          <cell r="O257" t="str">
            <v>配偶</v>
          </cell>
        </row>
        <row r="257">
          <cell r="Q257" t="str">
            <v>13547246506</v>
          </cell>
          <cell r="R257" t="str">
            <v>51302119470803086662</v>
          </cell>
          <cell r="S257" t="str">
            <v>精神</v>
          </cell>
          <cell r="T257" t="str">
            <v>二级</v>
          </cell>
          <cell r="U257" t="str">
            <v>精神二级;</v>
          </cell>
        </row>
        <row r="258">
          <cell r="B258" t="str">
            <v>513021195208160917</v>
          </cell>
          <cell r="C258" t="str">
            <v>男</v>
          </cell>
          <cell r="D258" t="str">
            <v>汉族</v>
          </cell>
          <cell r="E258" t="str">
            <v>小学</v>
          </cell>
          <cell r="F258" t="str">
            <v>已婚</v>
          </cell>
          <cell r="G258" t="str">
            <v>农业</v>
          </cell>
        </row>
        <row r="258">
          <cell r="I258" t="str">
            <v>17323365123</v>
          </cell>
          <cell r="J258" t="str">
            <v>百节镇</v>
          </cell>
          <cell r="K258" t="str">
            <v>三牌社区</v>
          </cell>
          <cell r="L258" t="str">
            <v>四川省达州市达川区百节镇三牌社区4组３７号</v>
          </cell>
          <cell r="M258" t="str">
            <v>四川省达州市达川区百节镇三牌社区4组３７号</v>
          </cell>
        </row>
        <row r="258">
          <cell r="R258" t="str">
            <v>51302119520816091741</v>
          </cell>
          <cell r="S258" t="str">
            <v>肢体</v>
          </cell>
          <cell r="T258" t="str">
            <v>一级</v>
          </cell>
          <cell r="U258" t="str">
            <v>肢体一级;</v>
          </cell>
        </row>
        <row r="259">
          <cell r="B259" t="str">
            <v>513021196609020872</v>
          </cell>
          <cell r="C259" t="str">
            <v>男</v>
          </cell>
          <cell r="D259" t="str">
            <v>汉族</v>
          </cell>
          <cell r="E259" t="str">
            <v>文盲</v>
          </cell>
          <cell r="F259" t="str">
            <v>已婚</v>
          </cell>
          <cell r="G259" t="str">
            <v>农业</v>
          </cell>
        </row>
        <row r="259">
          <cell r="I259" t="str">
            <v>000000</v>
          </cell>
          <cell r="J259" t="str">
            <v>百节镇</v>
          </cell>
          <cell r="K259" t="str">
            <v>三牌社区</v>
          </cell>
          <cell r="L259" t="str">
            <v>四川省达州市达川区百节镇三牌村３组６７号</v>
          </cell>
          <cell r="M259" t="str">
            <v>四川省达县百节镇三牌村３组６７号</v>
          </cell>
        </row>
        <row r="259">
          <cell r="R259" t="str">
            <v>51302119660902087214</v>
          </cell>
          <cell r="S259" t="str">
            <v>视力</v>
          </cell>
          <cell r="T259" t="str">
            <v>四级</v>
          </cell>
          <cell r="U259" t="str">
            <v>视力四级;</v>
          </cell>
        </row>
        <row r="260">
          <cell r="B260" t="str">
            <v>513021195407160872</v>
          </cell>
          <cell r="C260" t="str">
            <v>男</v>
          </cell>
          <cell r="D260" t="str">
            <v>汉族</v>
          </cell>
          <cell r="E260" t="str">
            <v>小学</v>
          </cell>
          <cell r="F260" t="str">
            <v>已婚</v>
          </cell>
          <cell r="G260" t="str">
            <v>农业</v>
          </cell>
        </row>
        <row r="260">
          <cell r="I260" t="str">
            <v>13982843163</v>
          </cell>
          <cell r="J260" t="str">
            <v>百节镇</v>
          </cell>
          <cell r="K260" t="str">
            <v>三牌社区</v>
          </cell>
          <cell r="L260" t="str">
            <v>四川省达县百节镇观音桥村４组４号</v>
          </cell>
          <cell r="M260" t="str">
            <v>四川省达县百节镇观音桥村４组４号</v>
          </cell>
        </row>
        <row r="260">
          <cell r="R260" t="str">
            <v>51302119540716087242</v>
          </cell>
          <cell r="S260" t="str">
            <v>肢体</v>
          </cell>
          <cell r="T260" t="str">
            <v>二级</v>
          </cell>
          <cell r="U260" t="str">
            <v>肢体二级;</v>
          </cell>
        </row>
        <row r="261">
          <cell r="B261" t="str">
            <v>513021195111110884</v>
          </cell>
          <cell r="C261" t="str">
            <v>女</v>
          </cell>
          <cell r="D261" t="str">
            <v>汉族</v>
          </cell>
          <cell r="E261" t="str">
            <v>小学</v>
          </cell>
          <cell r="F261" t="str">
            <v>已婚</v>
          </cell>
          <cell r="G261" t="str">
            <v>农业</v>
          </cell>
        </row>
        <row r="261">
          <cell r="I261" t="str">
            <v>18350235758</v>
          </cell>
          <cell r="J261" t="str">
            <v>百节镇</v>
          </cell>
          <cell r="K261" t="str">
            <v>三牌社区</v>
          </cell>
          <cell r="L261" t="str">
            <v>四川省达州市达川区百节镇观音桥村5组21号</v>
          </cell>
          <cell r="M261" t="str">
            <v>达州市达川区百节镇观音桥村5组21号</v>
          </cell>
          <cell r="N261" t="str">
            <v>潘光林</v>
          </cell>
          <cell r="O261" t="str">
            <v>子</v>
          </cell>
        </row>
        <row r="261">
          <cell r="Q261" t="str">
            <v>18350235758</v>
          </cell>
          <cell r="R261" t="str">
            <v>51302119511111088462</v>
          </cell>
          <cell r="S261" t="str">
            <v>精神</v>
          </cell>
          <cell r="T261" t="str">
            <v>二级</v>
          </cell>
          <cell r="U261" t="str">
            <v>精神二级;</v>
          </cell>
        </row>
        <row r="262">
          <cell r="B262" t="str">
            <v>513021197510030872</v>
          </cell>
          <cell r="C262" t="str">
            <v>男</v>
          </cell>
          <cell r="D262" t="str">
            <v>汉族</v>
          </cell>
          <cell r="E262" t="str">
            <v>初中</v>
          </cell>
          <cell r="F262" t="str">
            <v>已婚</v>
          </cell>
          <cell r="G262" t="str">
            <v>农业</v>
          </cell>
        </row>
        <row r="262">
          <cell r="I262" t="str">
            <v>15298149359</v>
          </cell>
          <cell r="J262" t="str">
            <v>百节镇</v>
          </cell>
          <cell r="K262" t="str">
            <v>三牌社区</v>
          </cell>
          <cell r="L262" t="str">
            <v>四川省达州市达川区百节镇三牌村六组</v>
          </cell>
          <cell r="M262" t="str">
            <v>四川省达州市达川区百节镇三牌村六组</v>
          </cell>
        </row>
        <row r="262">
          <cell r="R262" t="str">
            <v>51302119751003087214</v>
          </cell>
          <cell r="S262" t="str">
            <v>视力</v>
          </cell>
          <cell r="T262" t="str">
            <v>四级</v>
          </cell>
          <cell r="U262" t="str">
            <v>视力四级;</v>
          </cell>
        </row>
        <row r="263">
          <cell r="B263" t="str">
            <v>513021194106010876</v>
          </cell>
          <cell r="C263" t="str">
            <v>男</v>
          </cell>
          <cell r="D263" t="str">
            <v>汉族</v>
          </cell>
          <cell r="E263" t="str">
            <v>文盲</v>
          </cell>
          <cell r="F263" t="str">
            <v>已婚</v>
          </cell>
          <cell r="G263" t="str">
            <v>农业</v>
          </cell>
        </row>
        <row r="263">
          <cell r="I263" t="str">
            <v>18282920241</v>
          </cell>
          <cell r="J263" t="str">
            <v>百节镇</v>
          </cell>
          <cell r="K263" t="str">
            <v>三牌社区</v>
          </cell>
          <cell r="L263" t="str">
            <v>四川省达州市达川区百节镇三牌村1组89号</v>
          </cell>
          <cell r="M263" t="str">
            <v>四川省达县</v>
          </cell>
        </row>
        <row r="263">
          <cell r="R263" t="str">
            <v>51302119410601087643</v>
          </cell>
          <cell r="S263" t="str">
            <v>肢体</v>
          </cell>
          <cell r="T263" t="str">
            <v>三级</v>
          </cell>
          <cell r="U263" t="str">
            <v>肢体三级;</v>
          </cell>
        </row>
        <row r="264">
          <cell r="B264" t="str">
            <v>513021197211200886</v>
          </cell>
          <cell r="C264" t="str">
            <v>女</v>
          </cell>
          <cell r="D264" t="str">
            <v>汉族</v>
          </cell>
          <cell r="E264" t="str">
            <v>小学</v>
          </cell>
          <cell r="F264" t="str">
            <v>已婚</v>
          </cell>
          <cell r="G264" t="str">
            <v>农业</v>
          </cell>
        </row>
        <row r="264">
          <cell r="I264" t="str">
            <v>18020605009</v>
          </cell>
          <cell r="J264" t="str">
            <v>百节镇</v>
          </cell>
          <cell r="K264" t="str">
            <v>三牌社区</v>
          </cell>
          <cell r="L264" t="str">
            <v>四川省达州市达川区百节镇观音桥村5组26号</v>
          </cell>
          <cell r="M264" t="str">
            <v>四川省达州市达川区百节镇观音桥村5组26号</v>
          </cell>
          <cell r="N264" t="str">
            <v>谭坤亮</v>
          </cell>
          <cell r="O264" t="str">
            <v>配偶</v>
          </cell>
        </row>
        <row r="264">
          <cell r="Q264" t="str">
            <v>18020605009</v>
          </cell>
          <cell r="R264" t="str">
            <v>51302119721120088641</v>
          </cell>
          <cell r="S264" t="str">
            <v>肢体</v>
          </cell>
          <cell r="T264" t="str">
            <v>一级</v>
          </cell>
          <cell r="U264" t="str">
            <v>肢体一级;</v>
          </cell>
        </row>
        <row r="265">
          <cell r="B265" t="str">
            <v>513021195904130869</v>
          </cell>
          <cell r="C265" t="str">
            <v>女</v>
          </cell>
          <cell r="D265" t="str">
            <v>汉族</v>
          </cell>
          <cell r="E265" t="str">
            <v>小学</v>
          </cell>
          <cell r="F265" t="str">
            <v>已婚</v>
          </cell>
          <cell r="G265" t="str">
            <v>农业</v>
          </cell>
        </row>
        <row r="265">
          <cell r="I265" t="str">
            <v>15881870103</v>
          </cell>
          <cell r="J265" t="str">
            <v>百节镇</v>
          </cell>
          <cell r="K265" t="str">
            <v>三牌社区</v>
          </cell>
          <cell r="L265" t="str">
            <v>四川省达州市达川区百节镇三牌村1组42号</v>
          </cell>
          <cell r="M265" t="str">
            <v>四川省达州市达川区百节镇三牌村1组42号</v>
          </cell>
        </row>
        <row r="265">
          <cell r="R265" t="str">
            <v>51302119590413086923</v>
          </cell>
          <cell r="S265" t="str">
            <v>听力</v>
          </cell>
          <cell r="T265" t="str">
            <v>三级</v>
          </cell>
          <cell r="U265" t="str">
            <v>听力三级;</v>
          </cell>
        </row>
        <row r="266">
          <cell r="B266" t="str">
            <v>513021195702070888</v>
          </cell>
          <cell r="C266" t="str">
            <v>女</v>
          </cell>
          <cell r="D266" t="str">
            <v>汉族</v>
          </cell>
          <cell r="E266" t="str">
            <v>小学</v>
          </cell>
          <cell r="F266" t="str">
            <v>已婚</v>
          </cell>
          <cell r="G266" t="str">
            <v>农业</v>
          </cell>
        </row>
        <row r="266">
          <cell r="I266" t="str">
            <v>18381870286</v>
          </cell>
          <cell r="J266" t="str">
            <v>百节镇</v>
          </cell>
          <cell r="K266" t="str">
            <v>三牌社区</v>
          </cell>
          <cell r="L266" t="str">
            <v>四川省达州市达川区百节镇观音桥村4组22号</v>
          </cell>
          <cell r="M266" t="str">
            <v>四川省达州市达川区百节镇观音桥村4组22号</v>
          </cell>
          <cell r="N266" t="str">
            <v>李正厚</v>
          </cell>
          <cell r="O266" t="str">
            <v>配偶</v>
          </cell>
        </row>
        <row r="266">
          <cell r="Q266" t="str">
            <v>18381870286</v>
          </cell>
          <cell r="R266" t="str">
            <v>51302119570207088862</v>
          </cell>
          <cell r="S266" t="str">
            <v>精神</v>
          </cell>
          <cell r="T266" t="str">
            <v>二级</v>
          </cell>
          <cell r="U266" t="str">
            <v>精神二级;</v>
          </cell>
        </row>
        <row r="267">
          <cell r="B267" t="str">
            <v>513021194307110873</v>
          </cell>
          <cell r="C267" t="str">
            <v>男</v>
          </cell>
          <cell r="D267" t="str">
            <v>汉族</v>
          </cell>
          <cell r="E267" t="str">
            <v>文盲</v>
          </cell>
          <cell r="F267" t="str">
            <v>已婚</v>
          </cell>
          <cell r="G267" t="str">
            <v>农业</v>
          </cell>
        </row>
        <row r="267">
          <cell r="I267" t="str">
            <v>18781850769</v>
          </cell>
          <cell r="J267" t="str">
            <v>百节镇</v>
          </cell>
          <cell r="K267" t="str">
            <v>三牌社区</v>
          </cell>
          <cell r="L267" t="str">
            <v>四川省达州市达川区百节镇三牌村3组</v>
          </cell>
          <cell r="M267" t="str">
            <v>四川省达州市达川区百节镇三牌村3组</v>
          </cell>
        </row>
        <row r="267">
          <cell r="R267" t="str">
            <v>51302119430711087344</v>
          </cell>
          <cell r="S267" t="str">
            <v>肢体</v>
          </cell>
          <cell r="T267" t="str">
            <v>四级</v>
          </cell>
          <cell r="U267" t="str">
            <v>肢体四级;</v>
          </cell>
        </row>
        <row r="268">
          <cell r="B268" t="str">
            <v>513021198811250865</v>
          </cell>
          <cell r="C268" t="str">
            <v>女</v>
          </cell>
          <cell r="D268" t="str">
            <v>汉族</v>
          </cell>
          <cell r="E268" t="str">
            <v>文盲</v>
          </cell>
          <cell r="F268" t="str">
            <v>已婚</v>
          </cell>
          <cell r="G268" t="str">
            <v>农业</v>
          </cell>
        </row>
        <row r="268">
          <cell r="I268" t="str">
            <v>15808198980</v>
          </cell>
          <cell r="J268" t="str">
            <v>百节镇</v>
          </cell>
          <cell r="K268" t="str">
            <v>三牌社区</v>
          </cell>
          <cell r="L268" t="str">
            <v>四川省达州市达川区百节镇三牌村4组8号</v>
          </cell>
          <cell r="M268" t="str">
            <v>四川省达县</v>
          </cell>
        </row>
        <row r="268">
          <cell r="R268" t="str">
            <v>51302119881125086523</v>
          </cell>
          <cell r="S268" t="str">
            <v>听力</v>
          </cell>
          <cell r="T268" t="str">
            <v>三级</v>
          </cell>
          <cell r="U268" t="str">
            <v>听力三级;</v>
          </cell>
        </row>
        <row r="269">
          <cell r="B269" t="str">
            <v>513021196602160864</v>
          </cell>
          <cell r="C269" t="str">
            <v>女</v>
          </cell>
          <cell r="D269" t="str">
            <v>汉族</v>
          </cell>
          <cell r="E269" t="str">
            <v>小学</v>
          </cell>
          <cell r="F269" t="str">
            <v>已婚</v>
          </cell>
          <cell r="G269" t="str">
            <v>农业</v>
          </cell>
        </row>
        <row r="269">
          <cell r="I269" t="str">
            <v>13064328110</v>
          </cell>
          <cell r="J269" t="str">
            <v>百节镇</v>
          </cell>
          <cell r="K269" t="str">
            <v>三牌社区</v>
          </cell>
          <cell r="L269" t="str">
            <v>四川省达州市达川区百节镇三牌村4组8号</v>
          </cell>
          <cell r="M269" t="str">
            <v>四川省达州市达川区百节镇三牌村4组8号</v>
          </cell>
        </row>
        <row r="269">
          <cell r="R269" t="str">
            <v>51302119660216086423</v>
          </cell>
          <cell r="S269" t="str">
            <v>听力</v>
          </cell>
          <cell r="T269" t="str">
            <v>三级</v>
          </cell>
          <cell r="U269" t="str">
            <v>听力三级;</v>
          </cell>
        </row>
        <row r="270">
          <cell r="B270" t="str">
            <v>51302119480711087X</v>
          </cell>
          <cell r="C270" t="str">
            <v>男</v>
          </cell>
          <cell r="D270" t="str">
            <v>汉族</v>
          </cell>
          <cell r="E270" t="str">
            <v>小学</v>
          </cell>
          <cell r="F270" t="str">
            <v>已婚</v>
          </cell>
          <cell r="G270" t="str">
            <v>农业</v>
          </cell>
        </row>
        <row r="270">
          <cell r="I270" t="str">
            <v>15520270980</v>
          </cell>
          <cell r="J270" t="str">
            <v>百节镇</v>
          </cell>
          <cell r="K270" t="str">
            <v>三牌社区</v>
          </cell>
          <cell r="L270" t="str">
            <v>四川省达州市达川区百节镇三牌村5组38号</v>
          </cell>
          <cell r="M270" t="str">
            <v>四川省达州市达川区百节镇三牌村5组38号</v>
          </cell>
        </row>
        <row r="270">
          <cell r="R270" t="str">
            <v>51302119480711087X43</v>
          </cell>
          <cell r="S270" t="str">
            <v>肢体</v>
          </cell>
          <cell r="T270" t="str">
            <v>三级</v>
          </cell>
          <cell r="U270" t="str">
            <v>肢体三级;</v>
          </cell>
        </row>
        <row r="271">
          <cell r="B271" t="str">
            <v>513021197207200904</v>
          </cell>
          <cell r="C271" t="str">
            <v>女</v>
          </cell>
          <cell r="D271" t="str">
            <v>汉族</v>
          </cell>
          <cell r="E271" t="str">
            <v>初中</v>
          </cell>
          <cell r="F271" t="str">
            <v>已婚</v>
          </cell>
          <cell r="G271" t="str">
            <v>农业</v>
          </cell>
        </row>
        <row r="271">
          <cell r="I271" t="str">
            <v>18111793649</v>
          </cell>
          <cell r="J271" t="str">
            <v>百节镇</v>
          </cell>
          <cell r="K271" t="str">
            <v>三牌社区</v>
          </cell>
          <cell r="L271" t="str">
            <v>四川省达州市达川区百节镇观音桥村1组65号</v>
          </cell>
          <cell r="M271" t="str">
            <v>四川省达州市达川区百节镇观音桥村1组65号</v>
          </cell>
        </row>
        <row r="271">
          <cell r="R271" t="str">
            <v>51302119720720090414</v>
          </cell>
          <cell r="S271" t="str">
            <v>视力</v>
          </cell>
          <cell r="T271" t="str">
            <v>四级</v>
          </cell>
          <cell r="U271" t="str">
            <v>视力四级;</v>
          </cell>
        </row>
        <row r="272">
          <cell r="B272" t="str">
            <v>513021197612160889</v>
          </cell>
          <cell r="C272" t="str">
            <v>女</v>
          </cell>
          <cell r="D272" t="str">
            <v>汉族</v>
          </cell>
          <cell r="E272" t="str">
            <v>小学</v>
          </cell>
          <cell r="F272" t="str">
            <v>已婚</v>
          </cell>
          <cell r="G272" t="str">
            <v>农业</v>
          </cell>
        </row>
        <row r="272">
          <cell r="I272" t="str">
            <v>15883710433</v>
          </cell>
          <cell r="J272" t="str">
            <v>百节镇</v>
          </cell>
          <cell r="K272" t="str">
            <v>三牌社区</v>
          </cell>
          <cell r="L272" t="str">
            <v>四川省达州市达川区百节镇三牌社区4组</v>
          </cell>
          <cell r="M272" t="str">
            <v>四川省达州市达川区百节镇三牌社区4组</v>
          </cell>
          <cell r="N272" t="str">
            <v>唐平</v>
          </cell>
          <cell r="O272" t="str">
            <v>配偶</v>
          </cell>
        </row>
        <row r="272">
          <cell r="Q272" t="str">
            <v>15883710433</v>
          </cell>
          <cell r="R272" t="str">
            <v>51302119761216088953</v>
          </cell>
          <cell r="S272" t="str">
            <v>智力</v>
          </cell>
          <cell r="T272" t="str">
            <v>三级</v>
          </cell>
          <cell r="U272" t="str">
            <v>智力三级;</v>
          </cell>
        </row>
        <row r="273">
          <cell r="B273" t="str">
            <v>513021194710110873</v>
          </cell>
          <cell r="C273" t="str">
            <v>男</v>
          </cell>
          <cell r="D273" t="str">
            <v>汉族</v>
          </cell>
          <cell r="E273" t="str">
            <v>小学</v>
          </cell>
          <cell r="F273" t="str">
            <v>已婚</v>
          </cell>
          <cell r="G273" t="str">
            <v>农业</v>
          </cell>
        </row>
        <row r="273">
          <cell r="I273" t="str">
            <v>13340830263</v>
          </cell>
          <cell r="J273" t="str">
            <v>百节镇</v>
          </cell>
          <cell r="K273" t="str">
            <v>三牌社区</v>
          </cell>
          <cell r="L273" t="str">
            <v>四川省达州市达川区百节镇三牌社区5组</v>
          </cell>
          <cell r="M273" t="str">
            <v>四川省达州市达川区百节镇三牌社区5组</v>
          </cell>
        </row>
        <row r="273">
          <cell r="R273" t="str">
            <v>51302119471011087342</v>
          </cell>
          <cell r="S273" t="str">
            <v>肢体</v>
          </cell>
          <cell r="T273" t="str">
            <v>二级</v>
          </cell>
          <cell r="U273" t="str">
            <v>肢体二级;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06"/>
  <sheetViews>
    <sheetView tabSelected="1" workbookViewId="0">
      <selection activeCell="L109" sqref="L109"/>
    </sheetView>
  </sheetViews>
  <sheetFormatPr defaultColWidth="9" defaultRowHeight="14.4"/>
  <cols>
    <col min="1" max="1" width="5.5" customWidth="1"/>
    <col min="3" max="3" width="19.75" hidden="1" customWidth="1"/>
    <col min="4" max="4" width="21" customWidth="1"/>
    <col min="10" max="10" width="23.5" customWidth="1"/>
    <col min="15" max="15" width="13.1296296296296" customWidth="1"/>
  </cols>
  <sheetData>
    <row r="1" ht="33" customHeight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40" customHeight="1" spans="1:16">
      <c r="A2" s="2" t="s">
        <v>1</v>
      </c>
      <c r="B2" s="2" t="s">
        <v>2</v>
      </c>
      <c r="C2" s="3" t="s">
        <v>3</v>
      </c>
      <c r="D2" s="4" t="s">
        <v>3</v>
      </c>
      <c r="E2" s="4" t="s">
        <v>4</v>
      </c>
      <c r="F2" s="2" t="s">
        <v>5</v>
      </c>
      <c r="G2" s="5" t="s">
        <v>6</v>
      </c>
      <c r="H2" s="4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4" t="s">
        <v>15</v>
      </c>
    </row>
    <row r="3" ht="24" customHeight="1" spans="1:16">
      <c r="A3" s="6" t="s">
        <v>16</v>
      </c>
      <c r="B3" s="6"/>
      <c r="C3" s="7"/>
      <c r="D3" s="8"/>
      <c r="E3" s="8"/>
      <c r="F3" s="6"/>
      <c r="G3" s="9"/>
      <c r="H3" s="8">
        <f>SUBTOTAL(9,H4:H906)</f>
        <v>145522</v>
      </c>
      <c r="I3" s="8"/>
      <c r="J3" s="8"/>
      <c r="K3" s="8"/>
      <c r="L3" s="8"/>
      <c r="M3" s="8"/>
      <c r="N3" s="8"/>
      <c r="O3" s="8"/>
      <c r="P3" s="8">
        <f>SUBTOTAL(9,P4:P906)</f>
        <v>903</v>
      </c>
    </row>
    <row r="4" ht="18" customHeight="1" spans="1:16">
      <c r="A4" s="10">
        <v>1</v>
      </c>
      <c r="B4" s="11" t="s">
        <v>17</v>
      </c>
      <c r="C4" s="12" t="s">
        <v>18</v>
      </c>
      <c r="D4" s="13" t="str">
        <f>REPLACE(C4,7,8,"********")</f>
        <v>513021********0867</v>
      </c>
      <c r="E4" s="13" t="s">
        <v>19</v>
      </c>
      <c r="F4" s="11">
        <v>72</v>
      </c>
      <c r="G4" s="14" t="s">
        <v>20</v>
      </c>
      <c r="H4" s="15">
        <v>220</v>
      </c>
      <c r="I4" s="13" t="s">
        <v>21</v>
      </c>
      <c r="J4" s="16" t="s">
        <v>22</v>
      </c>
      <c r="K4" s="13"/>
      <c r="L4" s="13"/>
      <c r="M4" s="13"/>
      <c r="N4" s="13"/>
      <c r="O4" s="13" t="s">
        <v>23</v>
      </c>
      <c r="P4" s="13">
        <v>1</v>
      </c>
    </row>
    <row r="5" spans="1:16">
      <c r="A5" s="10">
        <v>2</v>
      </c>
      <c r="B5" s="16" t="s">
        <v>24</v>
      </c>
      <c r="C5" s="16" t="s">
        <v>25</v>
      </c>
      <c r="D5" s="13" t="str">
        <f t="shared" ref="D5:D68" si="0">REPLACE(C5,7,8,"********")</f>
        <v>513021********0869</v>
      </c>
      <c r="E5" s="17" t="s">
        <v>19</v>
      </c>
      <c r="F5" s="17">
        <f ca="1" t="shared" ref="F5:F13" si="1">YEAR(TODAY())-MID(C5,7,4)</f>
        <v>72</v>
      </c>
      <c r="G5" s="17" t="s">
        <v>20</v>
      </c>
      <c r="H5" s="18">
        <v>240</v>
      </c>
      <c r="I5" s="13" t="s">
        <v>21</v>
      </c>
      <c r="J5" s="16" t="s">
        <v>22</v>
      </c>
      <c r="K5" s="16"/>
      <c r="L5" s="17"/>
      <c r="M5" s="17"/>
      <c r="N5" s="17"/>
      <c r="O5" s="17"/>
      <c r="P5" s="17">
        <v>1</v>
      </c>
    </row>
    <row r="6" spans="1:16">
      <c r="A6" s="10">
        <v>3</v>
      </c>
      <c r="B6" s="19" t="s">
        <v>26</v>
      </c>
      <c r="C6" s="37" t="s">
        <v>27</v>
      </c>
      <c r="D6" s="13" t="str">
        <f t="shared" si="0"/>
        <v>513021********0865</v>
      </c>
      <c r="E6" s="17" t="s">
        <v>19</v>
      </c>
      <c r="F6" s="17">
        <f ca="1" t="shared" si="1"/>
        <v>70</v>
      </c>
      <c r="G6" s="17" t="s">
        <v>20</v>
      </c>
      <c r="H6" s="18">
        <v>220</v>
      </c>
      <c r="I6" s="13" t="s">
        <v>21</v>
      </c>
      <c r="J6" s="16" t="s">
        <v>22</v>
      </c>
      <c r="K6" s="16"/>
      <c r="L6" s="17"/>
      <c r="M6" s="17"/>
      <c r="N6" s="17"/>
      <c r="O6" s="17" t="s">
        <v>28</v>
      </c>
      <c r="P6" s="17">
        <v>1</v>
      </c>
    </row>
    <row r="7" spans="1:16">
      <c r="A7" s="10">
        <v>4</v>
      </c>
      <c r="B7" s="16" t="s">
        <v>29</v>
      </c>
      <c r="C7" s="38" t="s">
        <v>30</v>
      </c>
      <c r="D7" s="13" t="str">
        <f t="shared" si="0"/>
        <v>513021********0877</v>
      </c>
      <c r="E7" s="17" t="s">
        <v>31</v>
      </c>
      <c r="F7" s="17">
        <f ca="1" t="shared" si="1"/>
        <v>68</v>
      </c>
      <c r="G7" s="17" t="s">
        <v>20</v>
      </c>
      <c r="H7" s="18">
        <v>220</v>
      </c>
      <c r="I7" s="13" t="s">
        <v>21</v>
      </c>
      <c r="J7" s="16" t="s">
        <v>22</v>
      </c>
      <c r="K7" s="16"/>
      <c r="L7" s="17"/>
      <c r="M7" s="17"/>
      <c r="N7" s="17"/>
      <c r="O7" s="13" t="s">
        <v>23</v>
      </c>
      <c r="P7" s="17">
        <v>1</v>
      </c>
    </row>
    <row r="8" spans="1:16">
      <c r="A8" s="10">
        <v>5</v>
      </c>
      <c r="B8" s="16" t="s">
        <v>32</v>
      </c>
      <c r="C8" s="16" t="s">
        <v>33</v>
      </c>
      <c r="D8" s="13" t="str">
        <f t="shared" si="0"/>
        <v>513021********0869</v>
      </c>
      <c r="E8" s="17" t="s">
        <v>19</v>
      </c>
      <c r="F8" s="17">
        <f ca="1" t="shared" si="1"/>
        <v>72</v>
      </c>
      <c r="G8" s="17" t="s">
        <v>20</v>
      </c>
      <c r="H8" s="18">
        <v>220</v>
      </c>
      <c r="I8" s="13" t="s">
        <v>21</v>
      </c>
      <c r="J8" s="16" t="s">
        <v>22</v>
      </c>
      <c r="K8" s="16"/>
      <c r="L8" s="17"/>
      <c r="M8" s="17"/>
      <c r="N8" s="17" t="s">
        <v>34</v>
      </c>
      <c r="O8" s="17"/>
      <c r="P8" s="17">
        <v>3</v>
      </c>
    </row>
    <row r="9" spans="1:16">
      <c r="A9" s="10">
        <v>6</v>
      </c>
      <c r="B9" s="16" t="s">
        <v>35</v>
      </c>
      <c r="C9" s="16" t="s">
        <v>36</v>
      </c>
      <c r="D9" s="13" t="str">
        <f t="shared" si="0"/>
        <v>513021********0910</v>
      </c>
      <c r="E9" s="17" t="s">
        <v>31</v>
      </c>
      <c r="F9" s="17">
        <f ca="1" t="shared" si="1"/>
        <v>71</v>
      </c>
      <c r="G9" s="17" t="s">
        <v>37</v>
      </c>
      <c r="H9" s="20"/>
      <c r="I9" s="13" t="s">
        <v>21</v>
      </c>
      <c r="J9" s="16" t="s">
        <v>22</v>
      </c>
      <c r="K9" s="16"/>
      <c r="L9" s="17"/>
      <c r="M9" s="17"/>
      <c r="N9" s="17" t="s">
        <v>34</v>
      </c>
      <c r="O9" s="17"/>
      <c r="P9" s="17"/>
    </row>
    <row r="10" spans="1:16">
      <c r="A10" s="10">
        <v>7</v>
      </c>
      <c r="B10" s="17" t="s">
        <v>38</v>
      </c>
      <c r="C10" s="17" t="s">
        <v>39</v>
      </c>
      <c r="D10" s="13" t="str">
        <f t="shared" si="0"/>
        <v>511721********4671</v>
      </c>
      <c r="E10" s="17" t="s">
        <v>31</v>
      </c>
      <c r="F10" s="17">
        <f ca="1" t="shared" si="1"/>
        <v>20</v>
      </c>
      <c r="G10" s="17"/>
      <c r="H10" s="20"/>
      <c r="I10" s="13" t="s">
        <v>21</v>
      </c>
      <c r="J10" s="16" t="s">
        <v>22</v>
      </c>
      <c r="K10" s="16"/>
      <c r="L10" s="17"/>
      <c r="M10" s="17"/>
      <c r="N10" s="17" t="s">
        <v>34</v>
      </c>
      <c r="O10" s="17"/>
      <c r="P10" s="17"/>
    </row>
    <row r="11" spans="1:16">
      <c r="A11" s="10">
        <v>8</v>
      </c>
      <c r="B11" s="16" t="s">
        <v>40</v>
      </c>
      <c r="C11" s="16" t="s">
        <v>41</v>
      </c>
      <c r="D11" s="13" t="str">
        <f t="shared" si="0"/>
        <v>513021********0879</v>
      </c>
      <c r="E11" s="17" t="s">
        <v>31</v>
      </c>
      <c r="F11" s="17">
        <f ca="1" t="shared" si="1"/>
        <v>73</v>
      </c>
      <c r="G11" s="17" t="s">
        <v>20</v>
      </c>
      <c r="H11" s="18">
        <v>480</v>
      </c>
      <c r="I11" s="13" t="s">
        <v>21</v>
      </c>
      <c r="J11" s="16" t="s">
        <v>22</v>
      </c>
      <c r="K11" s="16"/>
      <c r="L11" s="17"/>
      <c r="M11" s="17"/>
      <c r="N11" s="17"/>
      <c r="O11" s="17"/>
      <c r="P11" s="17">
        <v>2</v>
      </c>
    </row>
    <row r="12" spans="1:16">
      <c r="A12" s="10">
        <v>9</v>
      </c>
      <c r="B12" s="16" t="s">
        <v>42</v>
      </c>
      <c r="C12" s="16" t="s">
        <v>43</v>
      </c>
      <c r="D12" s="13" t="str">
        <f t="shared" si="0"/>
        <v>513021********0884</v>
      </c>
      <c r="E12" s="17" t="s">
        <v>19</v>
      </c>
      <c r="F12" s="17">
        <f ca="1" t="shared" si="1"/>
        <v>73</v>
      </c>
      <c r="G12" s="17" t="s">
        <v>37</v>
      </c>
      <c r="H12" s="20"/>
      <c r="I12" s="13" t="s">
        <v>21</v>
      </c>
      <c r="J12" s="16" t="s">
        <v>22</v>
      </c>
      <c r="K12" s="16"/>
      <c r="L12" s="17" t="str">
        <f>VLOOKUP(C12,[2]Sheet1!$B$85:$U$273,20,0)</f>
        <v>精神二级;</v>
      </c>
      <c r="M12" s="17"/>
      <c r="N12" s="17"/>
      <c r="O12" s="17"/>
      <c r="P12" s="17"/>
    </row>
    <row r="13" spans="1:16">
      <c r="A13" s="10">
        <v>10</v>
      </c>
      <c r="B13" s="16" t="s">
        <v>44</v>
      </c>
      <c r="C13" s="16" t="s">
        <v>45</v>
      </c>
      <c r="D13" s="13" t="str">
        <f t="shared" si="0"/>
        <v>511721********4678</v>
      </c>
      <c r="E13" s="17" t="s">
        <v>31</v>
      </c>
      <c r="F13" s="17">
        <f ca="1" t="shared" si="1"/>
        <v>16</v>
      </c>
      <c r="G13" s="17" t="s">
        <v>20</v>
      </c>
      <c r="H13" s="18">
        <v>240</v>
      </c>
      <c r="I13" s="13" t="s">
        <v>21</v>
      </c>
      <c r="J13" s="16" t="s">
        <v>22</v>
      </c>
      <c r="K13" s="16"/>
      <c r="L13" s="17" t="str">
        <f>VLOOKUP(C13,[2]Sheet1!$B$85:$U$273,20,0)</f>
        <v>听力一级;言语一级;</v>
      </c>
      <c r="M13" s="17"/>
      <c r="N13" s="17"/>
      <c r="O13" s="17"/>
      <c r="P13" s="17">
        <v>1</v>
      </c>
    </row>
    <row r="14" spans="1:16">
      <c r="A14" s="10">
        <v>11</v>
      </c>
      <c r="B14" s="16" t="s">
        <v>46</v>
      </c>
      <c r="C14" s="16" t="s">
        <v>47</v>
      </c>
      <c r="D14" s="13" t="str">
        <f t="shared" si="0"/>
        <v>513021********0864</v>
      </c>
      <c r="E14" s="17" t="s">
        <v>19</v>
      </c>
      <c r="F14" s="17">
        <f ca="1" t="shared" ref="F14:F29" si="2">YEAR(TODAY())-MID(C14,7,4)</f>
        <v>72</v>
      </c>
      <c r="G14" s="17" t="s">
        <v>20</v>
      </c>
      <c r="H14" s="20">
        <v>660</v>
      </c>
      <c r="I14" s="13" t="s">
        <v>21</v>
      </c>
      <c r="J14" s="16" t="s">
        <v>22</v>
      </c>
      <c r="K14" s="16"/>
      <c r="L14" s="17" t="str">
        <f>VLOOKUP(C14,[2]Sheet1!$B$85:$U$273,20,0)</f>
        <v>肢体三级;</v>
      </c>
      <c r="M14" s="17"/>
      <c r="N14" s="17" t="s">
        <v>34</v>
      </c>
      <c r="O14" s="17"/>
      <c r="P14" s="17">
        <v>3</v>
      </c>
    </row>
    <row r="15" spans="1:16">
      <c r="A15" s="10">
        <v>12</v>
      </c>
      <c r="B15" s="17" t="s">
        <v>48</v>
      </c>
      <c r="C15" s="17" t="s">
        <v>49</v>
      </c>
      <c r="D15" s="13" t="str">
        <f t="shared" si="0"/>
        <v>511721********006X</v>
      </c>
      <c r="E15" s="17" t="s">
        <v>19</v>
      </c>
      <c r="F15" s="17">
        <f ca="1" t="shared" si="2"/>
        <v>18</v>
      </c>
      <c r="G15" s="17" t="s">
        <v>50</v>
      </c>
      <c r="H15" s="20"/>
      <c r="I15" s="13" t="s">
        <v>21</v>
      </c>
      <c r="J15" s="16" t="s">
        <v>22</v>
      </c>
      <c r="K15" s="16"/>
      <c r="L15" s="17" t="str">
        <f>VLOOKUP(C15,[2]Sheet1!$B$85:$U$273,20,0)</f>
        <v>智力一级;</v>
      </c>
      <c r="M15" s="17"/>
      <c r="N15" s="17" t="s">
        <v>34</v>
      </c>
      <c r="O15" s="17"/>
      <c r="P15" s="17"/>
    </row>
    <row r="16" spans="1:16">
      <c r="A16" s="10">
        <v>13</v>
      </c>
      <c r="B16" s="17" t="s">
        <v>51</v>
      </c>
      <c r="C16" s="17" t="s">
        <v>52</v>
      </c>
      <c r="D16" s="13" t="str">
        <f t="shared" si="0"/>
        <v>511721********4707</v>
      </c>
      <c r="E16" s="17" t="s">
        <v>19</v>
      </c>
      <c r="F16" s="17">
        <f ca="1" t="shared" si="2"/>
        <v>29</v>
      </c>
      <c r="G16" s="17" t="s">
        <v>50</v>
      </c>
      <c r="H16" s="20"/>
      <c r="I16" s="13" t="s">
        <v>21</v>
      </c>
      <c r="J16" s="16" t="s">
        <v>22</v>
      </c>
      <c r="K16" s="16"/>
      <c r="L16" s="17"/>
      <c r="M16" s="17"/>
      <c r="N16" s="17" t="s">
        <v>34</v>
      </c>
      <c r="O16" s="17"/>
      <c r="P16" s="17"/>
    </row>
    <row r="17" spans="1:16">
      <c r="A17" s="10">
        <v>14</v>
      </c>
      <c r="B17" s="16" t="s">
        <v>53</v>
      </c>
      <c r="C17" s="16" t="s">
        <v>54</v>
      </c>
      <c r="D17" s="13" t="str">
        <f t="shared" si="0"/>
        <v>511721********4685</v>
      </c>
      <c r="E17" s="17" t="s">
        <v>19</v>
      </c>
      <c r="F17" s="17">
        <f ca="1" t="shared" si="2"/>
        <v>22</v>
      </c>
      <c r="G17" s="17" t="s">
        <v>20</v>
      </c>
      <c r="H17" s="18">
        <v>380</v>
      </c>
      <c r="I17" s="13" t="s">
        <v>21</v>
      </c>
      <c r="J17" s="16" t="s">
        <v>22</v>
      </c>
      <c r="K17" s="16"/>
      <c r="L17" s="17"/>
      <c r="M17" s="17"/>
      <c r="N17" s="17" t="s">
        <v>34</v>
      </c>
      <c r="O17" s="17"/>
      <c r="P17" s="17">
        <v>1</v>
      </c>
    </row>
    <row r="18" spans="1:16">
      <c r="A18" s="10">
        <v>15</v>
      </c>
      <c r="B18" s="16" t="s">
        <v>55</v>
      </c>
      <c r="C18" s="16" t="s">
        <v>56</v>
      </c>
      <c r="D18" s="13" t="str">
        <f t="shared" si="0"/>
        <v>513021********0864</v>
      </c>
      <c r="E18" s="17" t="s">
        <v>19</v>
      </c>
      <c r="F18" s="17">
        <f ca="1" t="shared" si="2"/>
        <v>89</v>
      </c>
      <c r="G18" s="17" t="s">
        <v>20</v>
      </c>
      <c r="H18" s="18">
        <v>240</v>
      </c>
      <c r="I18" s="13" t="s">
        <v>21</v>
      </c>
      <c r="J18" s="16" t="s">
        <v>22</v>
      </c>
      <c r="K18" s="16"/>
      <c r="L18" s="17"/>
      <c r="M18" s="17"/>
      <c r="N18" s="17"/>
      <c r="O18" s="17"/>
      <c r="P18" s="17">
        <v>1</v>
      </c>
    </row>
    <row r="19" spans="1:16">
      <c r="A19" s="10">
        <v>16</v>
      </c>
      <c r="B19" s="16" t="s">
        <v>57</v>
      </c>
      <c r="C19" s="16" t="s">
        <v>58</v>
      </c>
      <c r="D19" s="13" t="str">
        <f t="shared" si="0"/>
        <v>513021********0869</v>
      </c>
      <c r="E19" s="17" t="s">
        <v>19</v>
      </c>
      <c r="F19" s="17">
        <f ca="1" t="shared" si="2"/>
        <v>79</v>
      </c>
      <c r="G19" s="17" t="s">
        <v>20</v>
      </c>
      <c r="H19" s="18">
        <v>240</v>
      </c>
      <c r="I19" s="13" t="s">
        <v>21</v>
      </c>
      <c r="J19" s="16" t="s">
        <v>22</v>
      </c>
      <c r="K19" s="16"/>
      <c r="L19" s="17"/>
      <c r="M19" s="17"/>
      <c r="N19" s="17"/>
      <c r="O19" s="17"/>
      <c r="P19" s="17">
        <v>1</v>
      </c>
    </row>
    <row r="20" spans="1:16">
      <c r="A20" s="10">
        <v>17</v>
      </c>
      <c r="B20" s="16" t="s">
        <v>59</v>
      </c>
      <c r="C20" s="16" t="s">
        <v>60</v>
      </c>
      <c r="D20" s="13" t="str">
        <f t="shared" si="0"/>
        <v>513021********0893</v>
      </c>
      <c r="E20" s="17" t="s">
        <v>31</v>
      </c>
      <c r="F20" s="17">
        <f ca="1" t="shared" si="2"/>
        <v>73</v>
      </c>
      <c r="G20" s="17" t="s">
        <v>20</v>
      </c>
      <c r="H20" s="18">
        <v>240</v>
      </c>
      <c r="I20" s="13" t="s">
        <v>21</v>
      </c>
      <c r="J20" s="16" t="s">
        <v>22</v>
      </c>
      <c r="K20" s="16"/>
      <c r="L20" s="17"/>
      <c r="M20" s="17"/>
      <c r="N20" s="17"/>
      <c r="O20" s="17"/>
      <c r="P20" s="17">
        <v>1</v>
      </c>
    </row>
    <row r="21" spans="1:16">
      <c r="A21" s="10">
        <v>18</v>
      </c>
      <c r="B21" s="16" t="s">
        <v>61</v>
      </c>
      <c r="C21" s="16" t="s">
        <v>62</v>
      </c>
      <c r="D21" s="13" t="str">
        <f t="shared" si="0"/>
        <v>513021********0874</v>
      </c>
      <c r="E21" s="17" t="s">
        <v>31</v>
      </c>
      <c r="F21" s="17">
        <f ca="1" t="shared" si="2"/>
        <v>56</v>
      </c>
      <c r="G21" s="17" t="s">
        <v>20</v>
      </c>
      <c r="H21" s="18">
        <v>240</v>
      </c>
      <c r="I21" s="13" t="s">
        <v>21</v>
      </c>
      <c r="J21" s="16" t="s">
        <v>22</v>
      </c>
      <c r="K21" s="16"/>
      <c r="L21" s="17"/>
      <c r="M21" s="17"/>
      <c r="N21" s="17"/>
      <c r="O21" s="17"/>
      <c r="P21" s="17">
        <v>1</v>
      </c>
    </row>
    <row r="22" spans="1:16">
      <c r="A22" s="10">
        <v>19</v>
      </c>
      <c r="B22" s="16" t="s">
        <v>63</v>
      </c>
      <c r="C22" s="16" t="s">
        <v>64</v>
      </c>
      <c r="D22" s="13" t="str">
        <f t="shared" si="0"/>
        <v>513021********0888</v>
      </c>
      <c r="E22" s="17" t="s">
        <v>19</v>
      </c>
      <c r="F22" s="17">
        <f ca="1" t="shared" si="2"/>
        <v>67</v>
      </c>
      <c r="G22" s="17" t="s">
        <v>20</v>
      </c>
      <c r="H22" s="18">
        <v>220</v>
      </c>
      <c r="I22" s="13" t="s">
        <v>21</v>
      </c>
      <c r="J22" s="16" t="s">
        <v>22</v>
      </c>
      <c r="K22" s="16"/>
      <c r="L22" s="17" t="str">
        <f>VLOOKUP(C22,[2]Sheet1!$B$85:$U$273,20,0)</f>
        <v>精神二级;</v>
      </c>
      <c r="M22" s="17"/>
      <c r="N22" s="17" t="s">
        <v>34</v>
      </c>
      <c r="O22" s="17"/>
      <c r="P22" s="17">
        <v>2</v>
      </c>
    </row>
    <row r="23" spans="1:16">
      <c r="A23" s="10">
        <v>20</v>
      </c>
      <c r="B23" s="16" t="s">
        <v>65</v>
      </c>
      <c r="C23" s="16" t="s">
        <v>66</v>
      </c>
      <c r="D23" s="13" t="str">
        <f t="shared" si="0"/>
        <v>513021********0875</v>
      </c>
      <c r="E23" s="17" t="s">
        <v>31</v>
      </c>
      <c r="F23" s="17">
        <f ca="1" t="shared" si="2"/>
        <v>70</v>
      </c>
      <c r="G23" s="17" t="s">
        <v>37</v>
      </c>
      <c r="H23" s="20"/>
      <c r="I23" s="13" t="s">
        <v>21</v>
      </c>
      <c r="J23" s="16" t="s">
        <v>22</v>
      </c>
      <c r="K23" s="16"/>
      <c r="L23" s="17"/>
      <c r="M23" s="17"/>
      <c r="N23" s="17" t="s">
        <v>34</v>
      </c>
      <c r="O23" s="17"/>
      <c r="P23" s="17"/>
    </row>
    <row r="24" spans="1:16">
      <c r="A24" s="10">
        <v>21</v>
      </c>
      <c r="B24" s="16" t="s">
        <v>67</v>
      </c>
      <c r="C24" s="16" t="s">
        <v>68</v>
      </c>
      <c r="D24" s="13" t="str">
        <f t="shared" si="0"/>
        <v>513021********0886</v>
      </c>
      <c r="E24" s="17" t="s">
        <v>19</v>
      </c>
      <c r="F24" s="17">
        <f ca="1" t="shared" si="2"/>
        <v>52</v>
      </c>
      <c r="G24" s="17" t="s">
        <v>20</v>
      </c>
      <c r="H24" s="18">
        <v>240</v>
      </c>
      <c r="I24" s="13" t="s">
        <v>21</v>
      </c>
      <c r="J24" s="16" t="s">
        <v>22</v>
      </c>
      <c r="K24" s="16"/>
      <c r="L24" s="17" t="str">
        <f>VLOOKUP(C24,[2]Sheet1!$B$85:$U$273,20,0)</f>
        <v>肢体一级;</v>
      </c>
      <c r="M24" s="17"/>
      <c r="N24" s="17"/>
      <c r="O24" s="17"/>
      <c r="P24" s="17">
        <v>1</v>
      </c>
    </row>
    <row r="25" spans="1:16">
      <c r="A25" s="10">
        <v>22</v>
      </c>
      <c r="B25" s="21" t="s">
        <v>69</v>
      </c>
      <c r="C25" s="21" t="s">
        <v>70</v>
      </c>
      <c r="D25" s="13" t="str">
        <f t="shared" si="0"/>
        <v>513021********0862</v>
      </c>
      <c r="E25" s="22" t="s">
        <v>19</v>
      </c>
      <c r="F25" s="22">
        <f ca="1" t="shared" si="2"/>
        <v>61</v>
      </c>
      <c r="G25" s="22" t="s">
        <v>20</v>
      </c>
      <c r="H25" s="18">
        <v>240</v>
      </c>
      <c r="I25" s="26" t="s">
        <v>21</v>
      </c>
      <c r="J25" s="21" t="s">
        <v>22</v>
      </c>
      <c r="K25" s="21"/>
      <c r="L25" s="22"/>
      <c r="M25" s="22"/>
      <c r="N25" s="22"/>
      <c r="O25" s="17"/>
      <c r="P25" s="17">
        <v>1</v>
      </c>
    </row>
    <row r="26" spans="1:16">
      <c r="A26" s="10">
        <v>23</v>
      </c>
      <c r="B26" s="16" t="s">
        <v>71</v>
      </c>
      <c r="C26" s="38" t="s">
        <v>72</v>
      </c>
      <c r="D26" s="13" t="str">
        <f t="shared" si="0"/>
        <v>513021********0907</v>
      </c>
      <c r="E26" s="17" t="s">
        <v>19</v>
      </c>
      <c r="F26" s="22">
        <f ca="1" t="shared" si="2"/>
        <v>36</v>
      </c>
      <c r="G26" s="17" t="s">
        <v>20</v>
      </c>
      <c r="H26" s="20">
        <v>380</v>
      </c>
      <c r="I26" s="26" t="s">
        <v>21</v>
      </c>
      <c r="J26" s="21" t="s">
        <v>22</v>
      </c>
      <c r="K26" s="16"/>
      <c r="L26" s="17"/>
      <c r="M26" s="17"/>
      <c r="N26" s="17"/>
      <c r="O26" s="17" t="s">
        <v>73</v>
      </c>
      <c r="P26" s="17">
        <v>1</v>
      </c>
    </row>
    <row r="27" spans="1:16">
      <c r="A27" s="10">
        <v>24</v>
      </c>
      <c r="B27" s="23" t="s">
        <v>74</v>
      </c>
      <c r="C27" s="23" t="s">
        <v>75</v>
      </c>
      <c r="D27" s="13" t="str">
        <f t="shared" si="0"/>
        <v>513021********0866</v>
      </c>
      <c r="E27" s="24" t="s">
        <v>19</v>
      </c>
      <c r="F27" s="24">
        <f ca="1" t="shared" ref="F27:F52" si="3">YEAR(TODAY())-MID(C27,7,4)</f>
        <v>74</v>
      </c>
      <c r="G27" s="24" t="s">
        <v>20</v>
      </c>
      <c r="H27" s="20">
        <v>240</v>
      </c>
      <c r="I27" s="27" t="s">
        <v>21</v>
      </c>
      <c r="J27" s="28" t="s">
        <v>22</v>
      </c>
      <c r="K27" s="28"/>
      <c r="L27" s="24" t="str">
        <f>VLOOKUP(C27,[2]Sheet1!$B$85:$U$273,20,0)</f>
        <v>肢体四级;</v>
      </c>
      <c r="M27" s="24"/>
      <c r="N27" s="24" t="s">
        <v>34</v>
      </c>
      <c r="O27" s="17"/>
      <c r="P27" s="17">
        <v>1</v>
      </c>
    </row>
    <row r="28" spans="1:16">
      <c r="A28" s="10">
        <v>25</v>
      </c>
      <c r="B28" s="16" t="s">
        <v>76</v>
      </c>
      <c r="C28" s="16" t="s">
        <v>77</v>
      </c>
      <c r="D28" s="13" t="str">
        <f t="shared" si="0"/>
        <v>513021********0874</v>
      </c>
      <c r="E28" s="17" t="s">
        <v>31</v>
      </c>
      <c r="F28" s="17">
        <f ca="1" t="shared" si="3"/>
        <v>69</v>
      </c>
      <c r="G28" s="17" t="s">
        <v>20</v>
      </c>
      <c r="H28" s="18">
        <v>240</v>
      </c>
      <c r="I28" s="13" t="s">
        <v>21</v>
      </c>
      <c r="J28" s="16" t="s">
        <v>22</v>
      </c>
      <c r="K28" s="16"/>
      <c r="L28" s="17"/>
      <c r="M28" s="17"/>
      <c r="N28" s="17"/>
      <c r="O28" s="17"/>
      <c r="P28" s="17">
        <v>1</v>
      </c>
    </row>
    <row r="29" spans="1:16">
      <c r="A29" s="10">
        <v>26</v>
      </c>
      <c r="B29" s="16" t="s">
        <v>78</v>
      </c>
      <c r="C29" s="16" t="s">
        <v>79</v>
      </c>
      <c r="D29" s="13" t="str">
        <f t="shared" si="0"/>
        <v>513021********0872</v>
      </c>
      <c r="E29" s="17" t="s">
        <v>31</v>
      </c>
      <c r="F29" s="17">
        <f ca="1" t="shared" si="3"/>
        <v>61</v>
      </c>
      <c r="G29" s="17" t="s">
        <v>20</v>
      </c>
      <c r="H29" s="18">
        <v>240</v>
      </c>
      <c r="I29" s="13" t="s">
        <v>21</v>
      </c>
      <c r="J29" s="16" t="s">
        <v>22</v>
      </c>
      <c r="K29" s="16"/>
      <c r="L29" s="17" t="str">
        <f>VLOOKUP(C29,[2]Sheet1!$B$85:$U$273,20,0)</f>
        <v>肢体三级;</v>
      </c>
      <c r="M29" s="17"/>
      <c r="N29" s="17"/>
      <c r="O29" s="17"/>
      <c r="P29" s="17">
        <v>1</v>
      </c>
    </row>
    <row r="30" spans="1:16">
      <c r="A30" s="10">
        <v>27</v>
      </c>
      <c r="B30" s="16" t="s">
        <v>80</v>
      </c>
      <c r="C30" s="38" t="s">
        <v>81</v>
      </c>
      <c r="D30" s="13" t="str">
        <f t="shared" si="0"/>
        <v>513021********0866</v>
      </c>
      <c r="E30" s="17" t="s">
        <v>31</v>
      </c>
      <c r="F30" s="17">
        <f ca="1" t="shared" si="3"/>
        <v>77</v>
      </c>
      <c r="G30" s="17" t="s">
        <v>20</v>
      </c>
      <c r="H30" s="18">
        <v>220</v>
      </c>
      <c r="I30" s="13" t="s">
        <v>21</v>
      </c>
      <c r="J30" s="16" t="s">
        <v>22</v>
      </c>
      <c r="K30" s="16"/>
      <c r="L30" s="17"/>
      <c r="M30" s="17"/>
      <c r="N30" s="17"/>
      <c r="O30" s="17" t="s">
        <v>23</v>
      </c>
      <c r="P30" s="17">
        <v>1</v>
      </c>
    </row>
    <row r="31" spans="1:16">
      <c r="A31" s="10">
        <v>28</v>
      </c>
      <c r="B31" s="16" t="s">
        <v>82</v>
      </c>
      <c r="C31" s="16" t="s">
        <v>83</v>
      </c>
      <c r="D31" s="13" t="str">
        <f t="shared" si="0"/>
        <v>513021********0873</v>
      </c>
      <c r="E31" s="17" t="s">
        <v>31</v>
      </c>
      <c r="F31" s="17">
        <f ca="1" t="shared" si="3"/>
        <v>79</v>
      </c>
      <c r="G31" s="17" t="s">
        <v>20</v>
      </c>
      <c r="H31" s="18">
        <v>240</v>
      </c>
      <c r="I31" s="13" t="s">
        <v>21</v>
      </c>
      <c r="J31" s="16" t="s">
        <v>22</v>
      </c>
      <c r="K31" s="16"/>
      <c r="L31" s="17"/>
      <c r="M31" s="17"/>
      <c r="N31" s="17" t="s">
        <v>34</v>
      </c>
      <c r="O31" s="17"/>
      <c r="P31" s="17">
        <v>1</v>
      </c>
    </row>
    <row r="32" spans="1:16">
      <c r="A32" s="10">
        <v>29</v>
      </c>
      <c r="B32" s="16" t="s">
        <v>84</v>
      </c>
      <c r="C32" s="16" t="s">
        <v>85</v>
      </c>
      <c r="D32" s="13" t="str">
        <f t="shared" si="0"/>
        <v>513021********0870</v>
      </c>
      <c r="E32" s="17" t="s">
        <v>31</v>
      </c>
      <c r="F32" s="17">
        <f ca="1" t="shared" si="3"/>
        <v>55</v>
      </c>
      <c r="G32" s="17" t="s">
        <v>20</v>
      </c>
      <c r="H32" s="18">
        <v>220</v>
      </c>
      <c r="I32" s="13" t="s">
        <v>21</v>
      </c>
      <c r="J32" s="16" t="s">
        <v>22</v>
      </c>
      <c r="K32" s="16"/>
      <c r="L32" s="17" t="str">
        <f>VLOOKUP(C32,[2]Sheet1!$B$85:$U$273,20,0)</f>
        <v>肢体二级;</v>
      </c>
      <c r="M32" s="17"/>
      <c r="N32" s="17" t="s">
        <v>34</v>
      </c>
      <c r="O32" s="17"/>
      <c r="P32" s="17">
        <v>2</v>
      </c>
    </row>
    <row r="33" spans="1:16">
      <c r="A33" s="10">
        <v>30</v>
      </c>
      <c r="B33" s="16" t="s">
        <v>86</v>
      </c>
      <c r="C33" s="16" t="s">
        <v>87</v>
      </c>
      <c r="D33" s="13" t="str">
        <f t="shared" si="0"/>
        <v>513021********0867</v>
      </c>
      <c r="E33" s="17" t="s">
        <v>19</v>
      </c>
      <c r="F33" s="17">
        <f ca="1" t="shared" si="3"/>
        <v>56</v>
      </c>
      <c r="G33" s="17" t="s">
        <v>37</v>
      </c>
      <c r="H33" s="20"/>
      <c r="I33" s="13" t="s">
        <v>21</v>
      </c>
      <c r="J33" s="16" t="s">
        <v>22</v>
      </c>
      <c r="K33" s="16"/>
      <c r="L33" s="17"/>
      <c r="M33" s="17"/>
      <c r="N33" s="17" t="s">
        <v>34</v>
      </c>
      <c r="O33" s="17"/>
      <c r="P33" s="17"/>
    </row>
    <row r="34" spans="1:16">
      <c r="A34" s="10">
        <v>31</v>
      </c>
      <c r="B34" s="16" t="s">
        <v>88</v>
      </c>
      <c r="C34" s="16" t="s">
        <v>89</v>
      </c>
      <c r="D34" s="13" t="str">
        <f t="shared" si="0"/>
        <v>513021********0864</v>
      </c>
      <c r="E34" s="17" t="s">
        <v>19</v>
      </c>
      <c r="F34" s="17">
        <f ca="1" t="shared" si="3"/>
        <v>79</v>
      </c>
      <c r="G34" s="17" t="s">
        <v>20</v>
      </c>
      <c r="H34" s="18">
        <v>480</v>
      </c>
      <c r="I34" s="13" t="s">
        <v>21</v>
      </c>
      <c r="J34" s="16" t="s">
        <v>22</v>
      </c>
      <c r="K34" s="16"/>
      <c r="L34" s="17" t="str">
        <f>VLOOKUP(C34,[2]Sheet1!$B$85:$U$273,20,0)</f>
        <v>精神二级;</v>
      </c>
      <c r="M34" s="17"/>
      <c r="N34" s="17" t="s">
        <v>34</v>
      </c>
      <c r="O34" s="17"/>
      <c r="P34" s="17">
        <v>2</v>
      </c>
    </row>
    <row r="35" spans="1:16">
      <c r="A35" s="10">
        <v>32</v>
      </c>
      <c r="B35" s="16" t="s">
        <v>90</v>
      </c>
      <c r="C35" s="16" t="s">
        <v>91</v>
      </c>
      <c r="D35" s="13" t="str">
        <f t="shared" si="0"/>
        <v>513021********0877</v>
      </c>
      <c r="E35" s="17" t="s">
        <v>31</v>
      </c>
      <c r="F35" s="17">
        <f ca="1" t="shared" si="3"/>
        <v>54</v>
      </c>
      <c r="G35" s="17"/>
      <c r="H35" s="20"/>
      <c r="I35" s="13" t="s">
        <v>21</v>
      </c>
      <c r="J35" s="16" t="s">
        <v>22</v>
      </c>
      <c r="K35" s="16"/>
      <c r="L35" s="17" t="str">
        <f>VLOOKUP(C35,[2]Sheet1!$B$85:$U$273,20,0)</f>
        <v>智力四级;</v>
      </c>
      <c r="M35" s="17"/>
      <c r="N35" s="17" t="s">
        <v>34</v>
      </c>
      <c r="O35" s="17"/>
      <c r="P35" s="17"/>
    </row>
    <row r="36" spans="1:16">
      <c r="A36" s="10">
        <v>33</v>
      </c>
      <c r="B36" s="16" t="s">
        <v>92</v>
      </c>
      <c r="C36" s="16" t="s">
        <v>93</v>
      </c>
      <c r="D36" s="13" t="str">
        <f t="shared" si="0"/>
        <v>513021********0904</v>
      </c>
      <c r="E36" s="17" t="s">
        <v>19</v>
      </c>
      <c r="F36" s="17">
        <f ca="1" t="shared" si="3"/>
        <v>86</v>
      </c>
      <c r="G36" s="17" t="s">
        <v>20</v>
      </c>
      <c r="H36" s="18">
        <v>240</v>
      </c>
      <c r="I36" s="13" t="s">
        <v>21</v>
      </c>
      <c r="J36" s="16" t="s">
        <v>22</v>
      </c>
      <c r="K36" s="16"/>
      <c r="L36" s="17"/>
      <c r="M36" s="17"/>
      <c r="N36" s="17" t="s">
        <v>34</v>
      </c>
      <c r="O36" s="17"/>
      <c r="P36" s="17">
        <v>1</v>
      </c>
    </row>
    <row r="37" spans="1:16">
      <c r="A37" s="10">
        <v>34</v>
      </c>
      <c r="B37" s="16" t="s">
        <v>94</v>
      </c>
      <c r="C37" s="38" t="s">
        <v>95</v>
      </c>
      <c r="D37" s="13" t="str">
        <f t="shared" si="0"/>
        <v>513021********0861</v>
      </c>
      <c r="E37" s="17" t="s">
        <v>19</v>
      </c>
      <c r="F37" s="17">
        <f ca="1" t="shared" si="3"/>
        <v>69</v>
      </c>
      <c r="G37" s="17" t="s">
        <v>20</v>
      </c>
      <c r="H37" s="18">
        <v>220</v>
      </c>
      <c r="I37" s="13" t="s">
        <v>21</v>
      </c>
      <c r="J37" s="16" t="s">
        <v>22</v>
      </c>
      <c r="K37" s="16"/>
      <c r="L37" s="17"/>
      <c r="M37" s="17"/>
      <c r="N37" s="17"/>
      <c r="O37" s="17" t="s">
        <v>28</v>
      </c>
      <c r="P37" s="17">
        <v>1</v>
      </c>
    </row>
    <row r="38" spans="1:16">
      <c r="A38" s="10">
        <v>35</v>
      </c>
      <c r="B38" s="16" t="s">
        <v>96</v>
      </c>
      <c r="C38" s="38" t="s">
        <v>97</v>
      </c>
      <c r="D38" s="13" t="str">
        <f t="shared" si="0"/>
        <v>513021********0917</v>
      </c>
      <c r="E38" s="17" t="s">
        <v>31</v>
      </c>
      <c r="F38" s="17">
        <f ca="1" t="shared" si="3"/>
        <v>72</v>
      </c>
      <c r="G38" s="17" t="s">
        <v>20</v>
      </c>
      <c r="H38" s="18">
        <v>220</v>
      </c>
      <c r="I38" s="13" t="s">
        <v>21</v>
      </c>
      <c r="J38" s="16" t="s">
        <v>22</v>
      </c>
      <c r="K38" s="16"/>
      <c r="L38" s="17"/>
      <c r="M38" s="17"/>
      <c r="N38" s="17"/>
      <c r="O38" s="17" t="s">
        <v>28</v>
      </c>
      <c r="P38" s="17">
        <v>1</v>
      </c>
    </row>
    <row r="39" spans="1:16">
      <c r="A39" s="10">
        <v>36</v>
      </c>
      <c r="B39" s="16" t="s">
        <v>98</v>
      </c>
      <c r="C39" s="16" t="s">
        <v>99</v>
      </c>
      <c r="D39" s="13" t="str">
        <f t="shared" si="0"/>
        <v>513021********0889</v>
      </c>
      <c r="E39" s="17" t="s">
        <v>19</v>
      </c>
      <c r="F39" s="17">
        <f ca="1" t="shared" si="3"/>
        <v>79</v>
      </c>
      <c r="G39" s="17" t="s">
        <v>20</v>
      </c>
      <c r="H39" s="18">
        <v>220</v>
      </c>
      <c r="I39" s="13" t="s">
        <v>21</v>
      </c>
      <c r="J39" s="16" t="s">
        <v>22</v>
      </c>
      <c r="K39" s="16"/>
      <c r="L39" s="17"/>
      <c r="M39" s="17"/>
      <c r="N39" s="17" t="s">
        <v>34</v>
      </c>
      <c r="O39" s="17"/>
      <c r="P39" s="17">
        <v>2</v>
      </c>
    </row>
    <row r="40" spans="1:16">
      <c r="A40" s="10">
        <v>37</v>
      </c>
      <c r="B40" s="16" t="s">
        <v>100</v>
      </c>
      <c r="C40" s="16" t="s">
        <v>101</v>
      </c>
      <c r="D40" s="13" t="str">
        <f t="shared" si="0"/>
        <v>513021********0913</v>
      </c>
      <c r="E40" s="17" t="s">
        <v>31</v>
      </c>
      <c r="F40" s="17">
        <f ca="1" t="shared" si="3"/>
        <v>85</v>
      </c>
      <c r="G40" s="17" t="s">
        <v>37</v>
      </c>
      <c r="H40" s="20"/>
      <c r="I40" s="13" t="s">
        <v>21</v>
      </c>
      <c r="J40" s="16" t="s">
        <v>22</v>
      </c>
      <c r="K40" s="16"/>
      <c r="L40" s="17"/>
      <c r="M40" s="17"/>
      <c r="N40" s="17" t="s">
        <v>34</v>
      </c>
      <c r="O40" s="17"/>
      <c r="P40" s="17"/>
    </row>
    <row r="41" spans="1:16">
      <c r="A41" s="10">
        <v>38</v>
      </c>
      <c r="B41" s="19" t="s">
        <v>102</v>
      </c>
      <c r="C41" s="37" t="s">
        <v>103</v>
      </c>
      <c r="D41" s="13" t="str">
        <f t="shared" si="0"/>
        <v>513021********0875</v>
      </c>
      <c r="E41" s="17" t="s">
        <v>31</v>
      </c>
      <c r="F41" s="17">
        <f ca="1" t="shared" si="3"/>
        <v>75</v>
      </c>
      <c r="G41" s="17" t="s">
        <v>20</v>
      </c>
      <c r="H41" s="18">
        <v>190</v>
      </c>
      <c r="I41" s="13" t="s">
        <v>21</v>
      </c>
      <c r="J41" s="16" t="s">
        <v>22</v>
      </c>
      <c r="K41" s="16"/>
      <c r="L41" s="17"/>
      <c r="M41" s="17"/>
      <c r="N41" s="17"/>
      <c r="O41" s="17" t="s">
        <v>28</v>
      </c>
      <c r="P41" s="17">
        <v>1</v>
      </c>
    </row>
    <row r="42" spans="1:16">
      <c r="A42" s="10">
        <v>39</v>
      </c>
      <c r="B42" s="16" t="s">
        <v>104</v>
      </c>
      <c r="C42" s="16" t="s">
        <v>105</v>
      </c>
      <c r="D42" s="13" t="str">
        <f t="shared" si="0"/>
        <v>513021********0868</v>
      </c>
      <c r="E42" s="17" t="s">
        <v>19</v>
      </c>
      <c r="F42" s="17">
        <f ca="1" t="shared" si="3"/>
        <v>78</v>
      </c>
      <c r="G42" s="17" t="s">
        <v>20</v>
      </c>
      <c r="H42" s="18">
        <v>240</v>
      </c>
      <c r="I42" s="13" t="s">
        <v>21</v>
      </c>
      <c r="J42" s="16" t="s">
        <v>22</v>
      </c>
      <c r="K42" s="16"/>
      <c r="L42" s="17"/>
      <c r="M42" s="17"/>
      <c r="N42" s="17" t="s">
        <v>34</v>
      </c>
      <c r="O42" s="17"/>
      <c r="P42" s="17">
        <v>1</v>
      </c>
    </row>
    <row r="43" spans="1:16">
      <c r="A43" s="10">
        <v>40</v>
      </c>
      <c r="B43" s="16" t="s">
        <v>106</v>
      </c>
      <c r="C43" s="16" t="s">
        <v>107</v>
      </c>
      <c r="D43" s="13" t="str">
        <f t="shared" si="0"/>
        <v>513021********0904</v>
      </c>
      <c r="E43" s="17" t="s">
        <v>19</v>
      </c>
      <c r="F43" s="17">
        <f ca="1" t="shared" si="3"/>
        <v>60</v>
      </c>
      <c r="G43" s="17" t="s">
        <v>20</v>
      </c>
      <c r="H43" s="18">
        <v>240</v>
      </c>
      <c r="I43" s="13" t="s">
        <v>21</v>
      </c>
      <c r="J43" s="16" t="s">
        <v>22</v>
      </c>
      <c r="K43" s="16"/>
      <c r="L43" s="17" t="str">
        <f>VLOOKUP(C43,[2]Sheet1!$B$85:$U$273,20,0)</f>
        <v>肢体三级;</v>
      </c>
      <c r="M43" s="17"/>
      <c r="N43" s="17"/>
      <c r="O43" s="17"/>
      <c r="P43" s="17">
        <v>1</v>
      </c>
    </row>
    <row r="44" spans="1:16">
      <c r="A44" s="10">
        <v>41</v>
      </c>
      <c r="B44" s="16" t="s">
        <v>108</v>
      </c>
      <c r="C44" s="16" t="s">
        <v>109</v>
      </c>
      <c r="D44" s="13" t="str">
        <f t="shared" si="0"/>
        <v>513021********0894</v>
      </c>
      <c r="E44" s="17" t="s">
        <v>31</v>
      </c>
      <c r="F44" s="17">
        <f ca="1" t="shared" si="3"/>
        <v>52</v>
      </c>
      <c r="G44" s="17" t="s">
        <v>20</v>
      </c>
      <c r="H44" s="18">
        <v>220</v>
      </c>
      <c r="I44" s="13" t="s">
        <v>21</v>
      </c>
      <c r="J44" s="16" t="s">
        <v>22</v>
      </c>
      <c r="K44" s="16"/>
      <c r="L44" s="17" t="str">
        <f>VLOOKUP(C44,[2]Sheet1!$B$85:$U$273,20,0)</f>
        <v>肢体三级;</v>
      </c>
      <c r="M44" s="17"/>
      <c r="N44" s="17" t="s">
        <v>34</v>
      </c>
      <c r="O44" s="17"/>
      <c r="P44" s="17">
        <v>2</v>
      </c>
    </row>
    <row r="45" spans="1:16">
      <c r="A45" s="10">
        <v>42</v>
      </c>
      <c r="B45" s="16" t="s">
        <v>110</v>
      </c>
      <c r="C45" s="16" t="s">
        <v>111</v>
      </c>
      <c r="D45" s="13" t="str">
        <f t="shared" si="0"/>
        <v>513021********0873</v>
      </c>
      <c r="E45" s="17" t="s">
        <v>31</v>
      </c>
      <c r="F45" s="17">
        <f ca="1" t="shared" si="3"/>
        <v>83</v>
      </c>
      <c r="G45" s="17" t="s">
        <v>112</v>
      </c>
      <c r="H45" s="20"/>
      <c r="I45" s="13" t="s">
        <v>21</v>
      </c>
      <c r="J45" s="16" t="s">
        <v>22</v>
      </c>
      <c r="K45" s="16"/>
      <c r="L45" s="17"/>
      <c r="M45" s="17"/>
      <c r="N45" s="17" t="s">
        <v>34</v>
      </c>
      <c r="O45" s="17"/>
      <c r="P45" s="17"/>
    </row>
    <row r="46" spans="1:16">
      <c r="A46" s="10">
        <v>43</v>
      </c>
      <c r="B46" s="16" t="s">
        <v>113</v>
      </c>
      <c r="C46" s="16" t="s">
        <v>114</v>
      </c>
      <c r="D46" s="13" t="str">
        <f t="shared" si="0"/>
        <v>513021********0883</v>
      </c>
      <c r="E46" s="17" t="s">
        <v>19</v>
      </c>
      <c r="F46" s="17">
        <f ca="1" t="shared" si="3"/>
        <v>50</v>
      </c>
      <c r="G46" s="17" t="s">
        <v>20</v>
      </c>
      <c r="H46" s="18">
        <v>240</v>
      </c>
      <c r="I46" s="13" t="s">
        <v>21</v>
      </c>
      <c r="J46" s="16" t="s">
        <v>22</v>
      </c>
      <c r="K46" s="16"/>
      <c r="L46" s="17"/>
      <c r="M46" s="17"/>
      <c r="N46" s="17"/>
      <c r="O46" s="17"/>
      <c r="P46" s="17">
        <v>1</v>
      </c>
    </row>
    <row r="47" spans="1:16">
      <c r="A47" s="10">
        <v>44</v>
      </c>
      <c r="B47" s="16" t="s">
        <v>115</v>
      </c>
      <c r="C47" s="16" t="s">
        <v>116</v>
      </c>
      <c r="D47" s="13" t="str">
        <f t="shared" si="0"/>
        <v>513021********0877</v>
      </c>
      <c r="E47" s="17" t="s">
        <v>31</v>
      </c>
      <c r="F47" s="17">
        <f ca="1" t="shared" si="3"/>
        <v>45</v>
      </c>
      <c r="G47" s="17" t="s">
        <v>20</v>
      </c>
      <c r="H47" s="18">
        <v>240</v>
      </c>
      <c r="I47" s="13" t="s">
        <v>21</v>
      </c>
      <c r="J47" s="16" t="s">
        <v>22</v>
      </c>
      <c r="K47" s="16"/>
      <c r="L47" s="17" t="str">
        <f>VLOOKUP(C47,[2]Sheet1!$B$85:$U$273,20,0)</f>
        <v>肢体二级;</v>
      </c>
      <c r="M47" s="17"/>
      <c r="N47" s="17" t="s">
        <v>34</v>
      </c>
      <c r="O47" s="17"/>
      <c r="P47" s="17">
        <v>1</v>
      </c>
    </row>
    <row r="48" spans="1:16">
      <c r="A48" s="10">
        <v>45</v>
      </c>
      <c r="B48" s="16" t="s">
        <v>117</v>
      </c>
      <c r="C48" s="16" t="s">
        <v>118</v>
      </c>
      <c r="D48" s="13" t="str">
        <f t="shared" si="0"/>
        <v>513021********0861</v>
      </c>
      <c r="E48" s="17" t="s">
        <v>19</v>
      </c>
      <c r="F48" s="17">
        <f ca="1" t="shared" si="3"/>
        <v>50</v>
      </c>
      <c r="G48" s="17" t="s">
        <v>20</v>
      </c>
      <c r="H48" s="18">
        <v>240</v>
      </c>
      <c r="I48" s="13" t="s">
        <v>21</v>
      </c>
      <c r="J48" s="16" t="s">
        <v>22</v>
      </c>
      <c r="K48" s="16"/>
      <c r="L48" s="17"/>
      <c r="M48" s="17"/>
      <c r="N48" s="17"/>
      <c r="O48" s="17"/>
      <c r="P48" s="17">
        <v>1</v>
      </c>
    </row>
    <row r="49" spans="1:16">
      <c r="A49" s="10">
        <v>46</v>
      </c>
      <c r="B49" s="16" t="s">
        <v>119</v>
      </c>
      <c r="C49" s="16" t="s">
        <v>120</v>
      </c>
      <c r="D49" s="13" t="str">
        <f t="shared" si="0"/>
        <v>513021********0914</v>
      </c>
      <c r="E49" s="17" t="s">
        <v>31</v>
      </c>
      <c r="F49" s="17">
        <f ca="1" t="shared" si="3"/>
        <v>55</v>
      </c>
      <c r="G49" s="17" t="s">
        <v>20</v>
      </c>
      <c r="H49" s="18">
        <v>240</v>
      </c>
      <c r="I49" s="13" t="s">
        <v>21</v>
      </c>
      <c r="J49" s="16" t="s">
        <v>22</v>
      </c>
      <c r="K49" s="16"/>
      <c r="L49" s="17"/>
      <c r="M49" s="17"/>
      <c r="N49" s="17"/>
      <c r="O49" s="17"/>
      <c r="P49" s="17">
        <v>1</v>
      </c>
    </row>
    <row r="50" spans="1:16">
      <c r="A50" s="10">
        <v>47</v>
      </c>
      <c r="B50" s="16" t="s">
        <v>121</v>
      </c>
      <c r="C50" s="16" t="s">
        <v>122</v>
      </c>
      <c r="D50" s="13" t="str">
        <f t="shared" si="0"/>
        <v>513021********0868</v>
      </c>
      <c r="E50" s="17" t="s">
        <v>19</v>
      </c>
      <c r="F50" s="17">
        <f ca="1" t="shared" si="3"/>
        <v>82</v>
      </c>
      <c r="G50" s="17" t="s">
        <v>20</v>
      </c>
      <c r="H50" s="18">
        <v>240</v>
      </c>
      <c r="I50" s="13" t="s">
        <v>21</v>
      </c>
      <c r="J50" s="16" t="s">
        <v>22</v>
      </c>
      <c r="K50" s="16"/>
      <c r="L50" s="17"/>
      <c r="M50" s="17"/>
      <c r="N50" s="17" t="s">
        <v>34</v>
      </c>
      <c r="O50" s="17"/>
      <c r="P50" s="17">
        <v>1</v>
      </c>
    </row>
    <row r="51" spans="1:16">
      <c r="A51" s="10">
        <v>48</v>
      </c>
      <c r="B51" s="16" t="s">
        <v>123</v>
      </c>
      <c r="C51" s="16" t="s">
        <v>124</v>
      </c>
      <c r="D51" s="13" t="str">
        <f t="shared" si="0"/>
        <v>513021********0893</v>
      </c>
      <c r="E51" s="17" t="s">
        <v>31</v>
      </c>
      <c r="F51" s="17">
        <f ca="1" t="shared" si="3"/>
        <v>57</v>
      </c>
      <c r="G51" s="17" t="s">
        <v>20</v>
      </c>
      <c r="H51" s="18">
        <v>240</v>
      </c>
      <c r="I51" s="13" t="s">
        <v>21</v>
      </c>
      <c r="J51" s="16" t="s">
        <v>22</v>
      </c>
      <c r="K51" s="16"/>
      <c r="L51" s="17"/>
      <c r="M51" s="17"/>
      <c r="N51" s="17"/>
      <c r="O51" s="17"/>
      <c r="P51" s="17">
        <v>1</v>
      </c>
    </row>
    <row r="52" spans="1:16">
      <c r="A52" s="10">
        <v>49</v>
      </c>
      <c r="B52" s="16" t="s">
        <v>125</v>
      </c>
      <c r="C52" s="16" t="s">
        <v>126</v>
      </c>
      <c r="D52" s="13" t="str">
        <f t="shared" si="0"/>
        <v>513021********0860</v>
      </c>
      <c r="E52" s="17" t="s">
        <v>19</v>
      </c>
      <c r="F52" s="17">
        <f ca="1" t="shared" ref="F52:F69" si="4">YEAR(TODAY())-MID(C52,7,4)</f>
        <v>83</v>
      </c>
      <c r="G52" s="17" t="s">
        <v>20</v>
      </c>
      <c r="H52" s="18">
        <v>240</v>
      </c>
      <c r="I52" s="13" t="s">
        <v>21</v>
      </c>
      <c r="J52" s="16" t="s">
        <v>22</v>
      </c>
      <c r="K52" s="16"/>
      <c r="L52" s="17"/>
      <c r="M52" s="17"/>
      <c r="N52" s="17" t="s">
        <v>34</v>
      </c>
      <c r="O52" s="17"/>
      <c r="P52" s="17">
        <v>1</v>
      </c>
    </row>
    <row r="53" spans="1:16">
      <c r="A53" s="10">
        <v>50</v>
      </c>
      <c r="B53" s="16" t="s">
        <v>127</v>
      </c>
      <c r="C53" s="16" t="s">
        <v>128</v>
      </c>
      <c r="D53" s="13" t="str">
        <f t="shared" si="0"/>
        <v>513021********0871</v>
      </c>
      <c r="E53" s="17" t="s">
        <v>31</v>
      </c>
      <c r="F53" s="17">
        <f ca="1" t="shared" si="4"/>
        <v>58</v>
      </c>
      <c r="G53" s="17" t="s">
        <v>20</v>
      </c>
      <c r="H53" s="18">
        <v>240</v>
      </c>
      <c r="I53" s="13" t="s">
        <v>21</v>
      </c>
      <c r="J53" s="16" t="s">
        <v>22</v>
      </c>
      <c r="K53" s="16"/>
      <c r="L53" s="17"/>
      <c r="M53" s="17"/>
      <c r="N53" s="17"/>
      <c r="O53" s="17"/>
      <c r="P53" s="17">
        <v>1</v>
      </c>
    </row>
    <row r="54" spans="1:16">
      <c r="A54" s="10">
        <v>51</v>
      </c>
      <c r="B54" s="16" t="s">
        <v>129</v>
      </c>
      <c r="C54" s="16" t="s">
        <v>130</v>
      </c>
      <c r="D54" s="13" t="str">
        <f t="shared" si="0"/>
        <v>513021********0867</v>
      </c>
      <c r="E54" s="17" t="s">
        <v>19</v>
      </c>
      <c r="F54" s="17">
        <f ca="1" t="shared" si="4"/>
        <v>67</v>
      </c>
      <c r="G54" s="17" t="s">
        <v>20</v>
      </c>
      <c r="H54" s="18">
        <v>240</v>
      </c>
      <c r="I54" s="13" t="s">
        <v>21</v>
      </c>
      <c r="J54" s="16" t="s">
        <v>22</v>
      </c>
      <c r="K54" s="16"/>
      <c r="L54" s="17"/>
      <c r="M54" s="17"/>
      <c r="N54" s="17"/>
      <c r="O54" s="17"/>
      <c r="P54" s="17">
        <v>1</v>
      </c>
    </row>
    <row r="55" spans="1:16">
      <c r="A55" s="10">
        <v>52</v>
      </c>
      <c r="B55" s="16" t="s">
        <v>131</v>
      </c>
      <c r="C55" s="16" t="s">
        <v>132</v>
      </c>
      <c r="D55" s="13" t="str">
        <f t="shared" si="0"/>
        <v>513021********0522</v>
      </c>
      <c r="E55" s="17" t="s">
        <v>19</v>
      </c>
      <c r="F55" s="17">
        <f ca="1" t="shared" si="4"/>
        <v>48</v>
      </c>
      <c r="G55" s="17" t="s">
        <v>20</v>
      </c>
      <c r="H55" s="18">
        <v>440</v>
      </c>
      <c r="I55" s="13" t="s">
        <v>21</v>
      </c>
      <c r="J55" s="16" t="s">
        <v>22</v>
      </c>
      <c r="K55" s="16"/>
      <c r="L55" s="17" t="str">
        <f>VLOOKUP(C55,[2]Sheet1!$B$85:$U$273,20,0)</f>
        <v>精神二级;</v>
      </c>
      <c r="M55" s="17"/>
      <c r="N55" s="17" t="s">
        <v>34</v>
      </c>
      <c r="O55" s="17"/>
      <c r="P55" s="17">
        <v>5</v>
      </c>
    </row>
    <row r="56" spans="1:16">
      <c r="A56" s="10">
        <v>53</v>
      </c>
      <c r="B56" s="16" t="s">
        <v>133</v>
      </c>
      <c r="C56" s="16" t="s">
        <v>134</v>
      </c>
      <c r="D56" s="13" t="str">
        <f t="shared" si="0"/>
        <v>513021********0875</v>
      </c>
      <c r="E56" s="17" t="s">
        <v>31</v>
      </c>
      <c r="F56" s="17">
        <f ca="1" t="shared" si="4"/>
        <v>56</v>
      </c>
      <c r="G56" s="17" t="s">
        <v>37</v>
      </c>
      <c r="H56" s="20"/>
      <c r="I56" s="13" t="s">
        <v>21</v>
      </c>
      <c r="J56" s="16" t="s">
        <v>22</v>
      </c>
      <c r="K56" s="16"/>
      <c r="L56" s="17"/>
      <c r="M56" s="17"/>
      <c r="N56" s="17" t="s">
        <v>34</v>
      </c>
      <c r="O56" s="17"/>
      <c r="P56" s="17"/>
    </row>
    <row r="57" spans="1:16">
      <c r="A57" s="10">
        <v>54</v>
      </c>
      <c r="B57" s="17" t="s">
        <v>135</v>
      </c>
      <c r="C57" s="17" t="s">
        <v>136</v>
      </c>
      <c r="D57" s="13" t="str">
        <f t="shared" si="0"/>
        <v>511721********4678</v>
      </c>
      <c r="E57" s="17" t="s">
        <v>31</v>
      </c>
      <c r="F57" s="17">
        <f ca="1" t="shared" si="4"/>
        <v>11</v>
      </c>
      <c r="G57" s="17"/>
      <c r="H57" s="20"/>
      <c r="I57" s="13" t="s">
        <v>21</v>
      </c>
      <c r="J57" s="16" t="s">
        <v>22</v>
      </c>
      <c r="K57" s="16"/>
      <c r="L57" s="17"/>
      <c r="M57" s="17"/>
      <c r="N57" s="17" t="s">
        <v>34</v>
      </c>
      <c r="O57" s="17"/>
      <c r="P57" s="17"/>
    </row>
    <row r="58" spans="1:16">
      <c r="A58" s="10">
        <v>55</v>
      </c>
      <c r="B58" s="17" t="s">
        <v>137</v>
      </c>
      <c r="C58" s="17" t="s">
        <v>138</v>
      </c>
      <c r="D58" s="13" t="str">
        <f t="shared" si="0"/>
        <v>511721********4700</v>
      </c>
      <c r="E58" s="17" t="s">
        <v>19</v>
      </c>
      <c r="F58" s="17">
        <f ca="1" t="shared" si="4"/>
        <v>23</v>
      </c>
      <c r="G58" s="17"/>
      <c r="H58" s="20"/>
      <c r="I58" s="13" t="s">
        <v>21</v>
      </c>
      <c r="J58" s="16" t="s">
        <v>22</v>
      </c>
      <c r="K58" s="16"/>
      <c r="L58" s="17"/>
      <c r="M58" s="17"/>
      <c r="N58" s="17" t="s">
        <v>34</v>
      </c>
      <c r="O58" s="17"/>
      <c r="P58" s="17"/>
    </row>
    <row r="59" spans="1:16">
      <c r="A59" s="10">
        <v>56</v>
      </c>
      <c r="B59" s="17" t="s">
        <v>139</v>
      </c>
      <c r="C59" s="17" t="s">
        <v>140</v>
      </c>
      <c r="D59" s="13" t="str">
        <f t="shared" si="0"/>
        <v>513021********0866</v>
      </c>
      <c r="E59" s="17" t="s">
        <v>19</v>
      </c>
      <c r="F59" s="17">
        <f ca="1" t="shared" si="4"/>
        <v>87</v>
      </c>
      <c r="G59" s="17"/>
      <c r="H59" s="20"/>
      <c r="I59" s="13" t="s">
        <v>21</v>
      </c>
      <c r="J59" s="16" t="s">
        <v>22</v>
      </c>
      <c r="K59" s="16"/>
      <c r="L59" s="17"/>
      <c r="M59" s="17"/>
      <c r="N59" s="17" t="s">
        <v>34</v>
      </c>
      <c r="O59" s="17"/>
      <c r="P59" s="17"/>
    </row>
    <row r="60" spans="1:16">
      <c r="A60" s="10">
        <v>57</v>
      </c>
      <c r="B60" s="16" t="s">
        <v>141</v>
      </c>
      <c r="C60" s="16" t="s">
        <v>142</v>
      </c>
      <c r="D60" s="13" t="str">
        <f t="shared" si="0"/>
        <v>513021********0865</v>
      </c>
      <c r="E60" s="17" t="s">
        <v>19</v>
      </c>
      <c r="F60" s="17">
        <f ca="1" t="shared" si="4"/>
        <v>75</v>
      </c>
      <c r="G60" s="17" t="s">
        <v>20</v>
      </c>
      <c r="H60" s="18">
        <v>480</v>
      </c>
      <c r="I60" s="13" t="s">
        <v>21</v>
      </c>
      <c r="J60" s="16" t="s">
        <v>22</v>
      </c>
      <c r="K60" s="16"/>
      <c r="L60" s="17"/>
      <c r="M60" s="17"/>
      <c r="N60" s="17" t="s">
        <v>34</v>
      </c>
      <c r="O60" s="17"/>
      <c r="P60" s="17">
        <v>2</v>
      </c>
    </row>
    <row r="61" spans="1:16">
      <c r="A61" s="10">
        <v>58</v>
      </c>
      <c r="B61" s="16" t="s">
        <v>143</v>
      </c>
      <c r="C61" s="16" t="s">
        <v>144</v>
      </c>
      <c r="D61" s="13" t="str">
        <f t="shared" si="0"/>
        <v>513021********0877</v>
      </c>
      <c r="E61" s="17" t="s">
        <v>31</v>
      </c>
      <c r="F61" s="17">
        <f ca="1" t="shared" si="4"/>
        <v>49</v>
      </c>
      <c r="G61" s="17" t="s">
        <v>145</v>
      </c>
      <c r="H61" s="20"/>
      <c r="I61" s="13" t="s">
        <v>21</v>
      </c>
      <c r="J61" s="16" t="s">
        <v>22</v>
      </c>
      <c r="K61" s="16"/>
      <c r="L61" s="17"/>
      <c r="M61" s="17"/>
      <c r="N61" s="17" t="s">
        <v>34</v>
      </c>
      <c r="O61" s="17"/>
      <c r="P61" s="17"/>
    </row>
    <row r="62" spans="1:16">
      <c r="A62" s="10">
        <v>59</v>
      </c>
      <c r="B62" s="25" t="s">
        <v>146</v>
      </c>
      <c r="C62" s="25" t="s">
        <v>147</v>
      </c>
      <c r="D62" s="13" t="str">
        <f t="shared" si="0"/>
        <v>513021********0869</v>
      </c>
      <c r="E62" s="17" t="s">
        <v>19</v>
      </c>
      <c r="F62" s="17">
        <f ca="1" t="shared" si="4"/>
        <v>61</v>
      </c>
      <c r="G62" s="17" t="s">
        <v>20</v>
      </c>
      <c r="H62" s="18">
        <v>220</v>
      </c>
      <c r="I62" s="13" t="s">
        <v>21</v>
      </c>
      <c r="J62" s="25" t="s">
        <v>148</v>
      </c>
      <c r="K62" s="25"/>
      <c r="L62" s="17" t="str">
        <f>VLOOKUP(C62,[2]Sheet1!$B$85:$U$273,20,0)</f>
        <v>精神三级;</v>
      </c>
      <c r="M62" s="17"/>
      <c r="N62" s="17" t="s">
        <v>34</v>
      </c>
      <c r="O62" s="17"/>
      <c r="P62" s="17">
        <v>2</v>
      </c>
    </row>
    <row r="63" spans="1:16">
      <c r="A63" s="10">
        <v>60</v>
      </c>
      <c r="B63" s="25" t="s">
        <v>149</v>
      </c>
      <c r="C63" s="25" t="s">
        <v>150</v>
      </c>
      <c r="D63" s="13" t="str">
        <f t="shared" si="0"/>
        <v>513021********0874</v>
      </c>
      <c r="E63" s="17" t="s">
        <v>31</v>
      </c>
      <c r="F63" s="17">
        <f ca="1" t="shared" si="4"/>
        <v>65</v>
      </c>
      <c r="G63" s="17" t="s">
        <v>37</v>
      </c>
      <c r="H63" s="20"/>
      <c r="I63" s="13" t="s">
        <v>21</v>
      </c>
      <c r="J63" s="25" t="s">
        <v>148</v>
      </c>
      <c r="K63" s="25"/>
      <c r="L63" s="17"/>
      <c r="M63" s="17"/>
      <c r="N63" s="17" t="s">
        <v>34</v>
      </c>
      <c r="O63" s="17"/>
      <c r="P63" s="17"/>
    </row>
    <row r="64" spans="1:16">
      <c r="A64" s="10">
        <v>61</v>
      </c>
      <c r="B64" s="25" t="s">
        <v>151</v>
      </c>
      <c r="C64" s="25" t="s">
        <v>152</v>
      </c>
      <c r="D64" s="13" t="str">
        <f t="shared" si="0"/>
        <v>513021********2509</v>
      </c>
      <c r="E64" s="17" t="s">
        <v>19</v>
      </c>
      <c r="F64" s="17">
        <f ca="1" t="shared" si="4"/>
        <v>68</v>
      </c>
      <c r="G64" s="17" t="s">
        <v>20</v>
      </c>
      <c r="H64" s="18">
        <v>240</v>
      </c>
      <c r="I64" s="13" t="s">
        <v>21</v>
      </c>
      <c r="J64" s="25" t="s">
        <v>148</v>
      </c>
      <c r="K64" s="25"/>
      <c r="L64" s="17"/>
      <c r="M64" s="17"/>
      <c r="N64" s="17"/>
      <c r="O64" s="17"/>
      <c r="P64" s="17">
        <v>1</v>
      </c>
    </row>
    <row r="65" spans="1:16">
      <c r="A65" s="10">
        <v>62</v>
      </c>
      <c r="B65" s="25" t="s">
        <v>153</v>
      </c>
      <c r="C65" s="25" t="s">
        <v>154</v>
      </c>
      <c r="D65" s="13" t="str">
        <f t="shared" si="0"/>
        <v>513021********1680</v>
      </c>
      <c r="E65" s="17" t="s">
        <v>19</v>
      </c>
      <c r="F65" s="17">
        <f ca="1" t="shared" si="4"/>
        <v>60</v>
      </c>
      <c r="G65" s="17" t="s">
        <v>20</v>
      </c>
      <c r="H65" s="18">
        <v>240</v>
      </c>
      <c r="I65" s="13" t="s">
        <v>21</v>
      </c>
      <c r="J65" s="25" t="s">
        <v>148</v>
      </c>
      <c r="K65" s="25"/>
      <c r="L65" s="17"/>
      <c r="M65" s="17"/>
      <c r="N65" s="17"/>
      <c r="O65" s="17"/>
      <c r="P65" s="17">
        <v>1</v>
      </c>
    </row>
    <row r="66" spans="1:16">
      <c r="A66" s="10">
        <v>63</v>
      </c>
      <c r="B66" s="25" t="s">
        <v>155</v>
      </c>
      <c r="C66" s="25" t="s">
        <v>156</v>
      </c>
      <c r="D66" s="13" t="str">
        <f t="shared" si="0"/>
        <v>513021********2828</v>
      </c>
      <c r="E66" s="17" t="s">
        <v>19</v>
      </c>
      <c r="F66" s="17">
        <f ca="1" t="shared" si="4"/>
        <v>60</v>
      </c>
      <c r="G66" s="17" t="s">
        <v>20</v>
      </c>
      <c r="H66" s="18">
        <v>240</v>
      </c>
      <c r="I66" s="13" t="s">
        <v>21</v>
      </c>
      <c r="J66" s="25" t="s">
        <v>148</v>
      </c>
      <c r="K66" s="25"/>
      <c r="L66" s="17"/>
      <c r="M66" s="17"/>
      <c r="N66" s="17"/>
      <c r="O66" s="17"/>
      <c r="P66" s="17">
        <v>1</v>
      </c>
    </row>
    <row r="67" spans="1:16">
      <c r="A67" s="10">
        <v>64</v>
      </c>
      <c r="B67" s="25" t="s">
        <v>157</v>
      </c>
      <c r="C67" s="25" t="s">
        <v>158</v>
      </c>
      <c r="D67" s="13" t="str">
        <f t="shared" si="0"/>
        <v>513021********2556</v>
      </c>
      <c r="E67" s="17" t="s">
        <v>31</v>
      </c>
      <c r="F67" s="17">
        <f ca="1" t="shared" si="4"/>
        <v>72</v>
      </c>
      <c r="G67" s="17" t="s">
        <v>20</v>
      </c>
      <c r="H67" s="18">
        <v>240</v>
      </c>
      <c r="I67" s="13" t="s">
        <v>21</v>
      </c>
      <c r="J67" s="25" t="s">
        <v>148</v>
      </c>
      <c r="K67" s="25"/>
      <c r="L67" s="17" t="str">
        <f>VLOOKUP(C67,[2]Sheet1!$B$85:$U$273,20,0)</f>
        <v>肢体四级;</v>
      </c>
      <c r="M67" s="17"/>
      <c r="N67" s="17"/>
      <c r="O67" s="17"/>
      <c r="P67" s="17">
        <v>1</v>
      </c>
    </row>
    <row r="68" ht="15.6" spans="1:16">
      <c r="A68" s="10">
        <v>65</v>
      </c>
      <c r="B68" s="29" t="s">
        <v>159</v>
      </c>
      <c r="C68" s="39" t="s">
        <v>160</v>
      </c>
      <c r="D68" s="13" t="str">
        <f t="shared" si="0"/>
        <v>513021********2525</v>
      </c>
      <c r="E68" s="17" t="s">
        <v>19</v>
      </c>
      <c r="F68" s="17">
        <f ca="1" t="shared" si="4"/>
        <v>79</v>
      </c>
      <c r="G68" s="17" t="s">
        <v>20</v>
      </c>
      <c r="H68" s="18">
        <v>220</v>
      </c>
      <c r="I68" s="13" t="s">
        <v>21</v>
      </c>
      <c r="J68" s="25" t="s">
        <v>148</v>
      </c>
      <c r="K68" s="25"/>
      <c r="L68" s="17"/>
      <c r="M68" s="17"/>
      <c r="N68" s="17"/>
      <c r="O68" s="17" t="s">
        <v>161</v>
      </c>
      <c r="P68" s="17">
        <v>1</v>
      </c>
    </row>
    <row r="69" ht="15.6" spans="1:16">
      <c r="A69" s="10">
        <v>66</v>
      </c>
      <c r="B69" s="29" t="s">
        <v>162</v>
      </c>
      <c r="C69" s="39" t="s">
        <v>163</v>
      </c>
      <c r="D69" s="13" t="str">
        <f t="shared" ref="D69:D132" si="5">REPLACE(C69,7,8,"********")</f>
        <v>513021********0871</v>
      </c>
      <c r="E69" s="17" t="s">
        <v>31</v>
      </c>
      <c r="F69" s="17">
        <f ca="1" t="shared" si="4"/>
        <v>57</v>
      </c>
      <c r="G69" s="17" t="s">
        <v>20</v>
      </c>
      <c r="H69" s="18">
        <v>240</v>
      </c>
      <c r="I69" s="13" t="s">
        <v>21</v>
      </c>
      <c r="J69" s="25" t="s">
        <v>148</v>
      </c>
      <c r="K69" s="25"/>
      <c r="L69" s="17"/>
      <c r="M69" s="17"/>
      <c r="N69" s="17"/>
      <c r="O69" s="17" t="s">
        <v>164</v>
      </c>
      <c r="P69" s="17">
        <v>1</v>
      </c>
    </row>
    <row r="70" spans="1:16">
      <c r="A70" s="10">
        <v>67</v>
      </c>
      <c r="B70" s="25" t="s">
        <v>165</v>
      </c>
      <c r="C70" s="25" t="s">
        <v>166</v>
      </c>
      <c r="D70" s="13" t="str">
        <f t="shared" si="5"/>
        <v>513021********2502</v>
      </c>
      <c r="E70" s="17" t="s">
        <v>19</v>
      </c>
      <c r="F70" s="17">
        <f ca="1" t="shared" ref="F70:F80" si="6">YEAR(TODAY())-MID(C70,7,4)</f>
        <v>86</v>
      </c>
      <c r="G70" s="17" t="s">
        <v>20</v>
      </c>
      <c r="H70" s="18">
        <v>240</v>
      </c>
      <c r="I70" s="13" t="s">
        <v>21</v>
      </c>
      <c r="J70" s="25" t="s">
        <v>148</v>
      </c>
      <c r="K70" s="25"/>
      <c r="L70" s="17"/>
      <c r="M70" s="17"/>
      <c r="N70" s="17"/>
      <c r="O70" s="17"/>
      <c r="P70" s="17">
        <v>1</v>
      </c>
    </row>
    <row r="71" spans="1:16">
      <c r="A71" s="10">
        <v>68</v>
      </c>
      <c r="B71" s="25" t="s">
        <v>167</v>
      </c>
      <c r="C71" s="25" t="s">
        <v>168</v>
      </c>
      <c r="D71" s="13" t="str">
        <f t="shared" si="5"/>
        <v>513021********2505</v>
      </c>
      <c r="E71" s="17" t="s">
        <v>19</v>
      </c>
      <c r="F71" s="17">
        <f ca="1" t="shared" si="6"/>
        <v>74</v>
      </c>
      <c r="G71" s="17" t="s">
        <v>20</v>
      </c>
      <c r="H71" s="18">
        <v>240</v>
      </c>
      <c r="I71" s="13" t="s">
        <v>21</v>
      </c>
      <c r="J71" s="25" t="s">
        <v>148</v>
      </c>
      <c r="K71" s="25"/>
      <c r="L71" s="17"/>
      <c r="M71" s="17"/>
      <c r="N71" s="17"/>
      <c r="O71" s="17"/>
      <c r="P71" s="17">
        <v>1</v>
      </c>
    </row>
    <row r="72" spans="1:16">
      <c r="A72" s="10">
        <v>69</v>
      </c>
      <c r="B72" s="25" t="s">
        <v>169</v>
      </c>
      <c r="C72" s="25" t="s">
        <v>170</v>
      </c>
      <c r="D72" s="13" t="str">
        <f t="shared" si="5"/>
        <v>513021********250X</v>
      </c>
      <c r="E72" s="17" t="s">
        <v>19</v>
      </c>
      <c r="F72" s="17">
        <f ca="1" t="shared" si="6"/>
        <v>74</v>
      </c>
      <c r="G72" s="17" t="s">
        <v>20</v>
      </c>
      <c r="H72" s="18">
        <v>240</v>
      </c>
      <c r="I72" s="13" t="s">
        <v>21</v>
      </c>
      <c r="J72" s="25" t="s">
        <v>148</v>
      </c>
      <c r="K72" s="25"/>
      <c r="L72" s="17" t="str">
        <f>VLOOKUP(C72,[2]Sheet1!$B$85:$U$273,20,0)</f>
        <v>听力三级;</v>
      </c>
      <c r="M72" s="17"/>
      <c r="N72" s="17"/>
      <c r="O72" s="17"/>
      <c r="P72" s="17">
        <v>1</v>
      </c>
    </row>
    <row r="73" spans="1:16">
      <c r="A73" s="10">
        <v>70</v>
      </c>
      <c r="B73" s="25" t="s">
        <v>171</v>
      </c>
      <c r="C73" s="25" t="s">
        <v>172</v>
      </c>
      <c r="D73" s="13" t="str">
        <f t="shared" si="5"/>
        <v>513021********2509</v>
      </c>
      <c r="E73" s="17" t="s">
        <v>19</v>
      </c>
      <c r="F73" s="17">
        <f ca="1" t="shared" si="6"/>
        <v>71</v>
      </c>
      <c r="G73" s="17" t="s">
        <v>20</v>
      </c>
      <c r="H73" s="18">
        <v>440</v>
      </c>
      <c r="I73" s="13" t="s">
        <v>21</v>
      </c>
      <c r="J73" s="25" t="s">
        <v>148</v>
      </c>
      <c r="K73" s="25"/>
      <c r="L73" s="17"/>
      <c r="M73" s="17"/>
      <c r="N73" s="17" t="s">
        <v>34</v>
      </c>
      <c r="O73" s="17"/>
      <c r="P73" s="17">
        <v>3</v>
      </c>
    </row>
    <row r="74" spans="1:16">
      <c r="A74" s="10">
        <v>71</v>
      </c>
      <c r="B74" s="25" t="s">
        <v>173</v>
      </c>
      <c r="C74" s="25" t="s">
        <v>174</v>
      </c>
      <c r="D74" s="13" t="str">
        <f t="shared" si="5"/>
        <v>513021********2556</v>
      </c>
      <c r="E74" s="17" t="s">
        <v>31</v>
      </c>
      <c r="F74" s="17">
        <f ca="1" t="shared" si="6"/>
        <v>74</v>
      </c>
      <c r="G74" s="17" t="s">
        <v>37</v>
      </c>
      <c r="H74" s="20"/>
      <c r="I74" s="13" t="s">
        <v>21</v>
      </c>
      <c r="J74" s="25" t="s">
        <v>148</v>
      </c>
      <c r="K74" s="25"/>
      <c r="L74" s="17"/>
      <c r="M74" s="17"/>
      <c r="N74" s="17" t="s">
        <v>34</v>
      </c>
      <c r="O74" s="17"/>
      <c r="P74" s="17"/>
    </row>
    <row r="75" spans="1:16">
      <c r="A75" s="10">
        <v>72</v>
      </c>
      <c r="B75" s="17" t="s">
        <v>175</v>
      </c>
      <c r="C75" s="17" t="s">
        <v>176</v>
      </c>
      <c r="D75" s="13" t="str">
        <f t="shared" si="5"/>
        <v>513021********2571</v>
      </c>
      <c r="E75" s="17" t="s">
        <v>31</v>
      </c>
      <c r="F75" s="17">
        <f ca="1" t="shared" si="6"/>
        <v>43</v>
      </c>
      <c r="G75" s="17" t="s">
        <v>145</v>
      </c>
      <c r="H75" s="20"/>
      <c r="I75" s="13" t="s">
        <v>21</v>
      </c>
      <c r="J75" s="25" t="s">
        <v>148</v>
      </c>
      <c r="K75" s="25"/>
      <c r="L75" s="17"/>
      <c r="M75" s="17"/>
      <c r="N75" s="17" t="s">
        <v>34</v>
      </c>
      <c r="O75" s="17"/>
      <c r="P75" s="17"/>
    </row>
    <row r="76" spans="1:16">
      <c r="A76" s="10">
        <v>73</v>
      </c>
      <c r="B76" s="25" t="s">
        <v>177</v>
      </c>
      <c r="C76" s="25" t="s">
        <v>178</v>
      </c>
      <c r="D76" s="13" t="str">
        <f t="shared" si="5"/>
        <v>511721********5131</v>
      </c>
      <c r="E76" s="17" t="s">
        <v>31</v>
      </c>
      <c r="F76" s="17">
        <f ca="1" t="shared" si="6"/>
        <v>16</v>
      </c>
      <c r="G76" s="17" t="s">
        <v>20</v>
      </c>
      <c r="H76" s="18">
        <v>240</v>
      </c>
      <c r="I76" s="13" t="s">
        <v>21</v>
      </c>
      <c r="J76" s="25" t="s">
        <v>148</v>
      </c>
      <c r="K76" s="25"/>
      <c r="L76" s="17" t="str">
        <f>VLOOKUP(C76,[2]Sheet1!$B$85:$U$273,20,0)</f>
        <v>肢体二级;</v>
      </c>
      <c r="M76" s="17"/>
      <c r="N76" s="17"/>
      <c r="O76" s="17"/>
      <c r="P76" s="17">
        <v>1</v>
      </c>
    </row>
    <row r="77" spans="1:16">
      <c r="A77" s="10">
        <v>74</v>
      </c>
      <c r="B77" s="25" t="s">
        <v>179</v>
      </c>
      <c r="C77" s="25" t="s">
        <v>180</v>
      </c>
      <c r="D77" s="13" t="str">
        <f t="shared" si="5"/>
        <v>513021********2509</v>
      </c>
      <c r="E77" s="17" t="s">
        <v>19</v>
      </c>
      <c r="F77" s="17">
        <f ca="1" t="shared" si="6"/>
        <v>72</v>
      </c>
      <c r="G77" s="17" t="s">
        <v>20</v>
      </c>
      <c r="H77" s="18">
        <v>220</v>
      </c>
      <c r="I77" s="13" t="s">
        <v>21</v>
      </c>
      <c r="J77" s="25" t="s">
        <v>148</v>
      </c>
      <c r="K77" s="25"/>
      <c r="L77" s="17"/>
      <c r="M77" s="17"/>
      <c r="N77" s="17" t="s">
        <v>34</v>
      </c>
      <c r="O77" s="17"/>
      <c r="P77" s="17">
        <v>2</v>
      </c>
    </row>
    <row r="78" spans="1:16">
      <c r="A78" s="10">
        <v>75</v>
      </c>
      <c r="B78" s="25" t="s">
        <v>181</v>
      </c>
      <c r="C78" s="25" t="s">
        <v>182</v>
      </c>
      <c r="D78" s="13" t="str">
        <f t="shared" si="5"/>
        <v>513021********2552</v>
      </c>
      <c r="E78" s="17" t="s">
        <v>31</v>
      </c>
      <c r="F78" s="17">
        <f ca="1" t="shared" si="6"/>
        <v>74</v>
      </c>
      <c r="G78" s="17" t="s">
        <v>37</v>
      </c>
      <c r="H78" s="20"/>
      <c r="I78" s="13" t="s">
        <v>21</v>
      </c>
      <c r="J78" s="25" t="s">
        <v>148</v>
      </c>
      <c r="K78" s="25"/>
      <c r="L78" s="17"/>
      <c r="M78" s="17"/>
      <c r="N78" s="17" t="s">
        <v>34</v>
      </c>
      <c r="O78" s="17"/>
      <c r="P78" s="17"/>
    </row>
    <row r="79" spans="1:16">
      <c r="A79" s="10">
        <v>76</v>
      </c>
      <c r="B79" s="25" t="s">
        <v>183</v>
      </c>
      <c r="C79" s="25" t="s">
        <v>184</v>
      </c>
      <c r="D79" s="13" t="str">
        <f t="shared" si="5"/>
        <v>513021********2553</v>
      </c>
      <c r="E79" s="17" t="s">
        <v>31</v>
      </c>
      <c r="F79" s="17">
        <f ca="1" t="shared" si="6"/>
        <v>70</v>
      </c>
      <c r="G79" s="17" t="s">
        <v>20</v>
      </c>
      <c r="H79" s="18">
        <v>220</v>
      </c>
      <c r="I79" s="13" t="s">
        <v>21</v>
      </c>
      <c r="J79" s="25" t="s">
        <v>148</v>
      </c>
      <c r="K79" s="25"/>
      <c r="L79" s="17" t="str">
        <f>VLOOKUP(C79,[2]Sheet1!$B$85:$U$273,20,0)</f>
        <v>视力三级;</v>
      </c>
      <c r="M79" s="17"/>
      <c r="N79" s="17" t="s">
        <v>34</v>
      </c>
      <c r="O79" s="17"/>
      <c r="P79" s="17">
        <v>1</v>
      </c>
    </row>
    <row r="80" ht="15.6" spans="1:16">
      <c r="A80" s="10">
        <v>77</v>
      </c>
      <c r="B80" s="29" t="s">
        <v>185</v>
      </c>
      <c r="C80" s="40" t="s">
        <v>186</v>
      </c>
      <c r="D80" s="13" t="str">
        <f t="shared" si="5"/>
        <v>513021********0558</v>
      </c>
      <c r="E80" s="17" t="s">
        <v>31</v>
      </c>
      <c r="F80" s="17">
        <f ca="1" t="shared" ref="F80:F89" si="7">YEAR(TODAY())-MID(C80,7,4)</f>
        <v>87</v>
      </c>
      <c r="G80" s="17" t="s">
        <v>20</v>
      </c>
      <c r="H80" s="18">
        <v>220</v>
      </c>
      <c r="I80" s="13" t="s">
        <v>21</v>
      </c>
      <c r="J80" s="25" t="s">
        <v>148</v>
      </c>
      <c r="K80" s="25"/>
      <c r="L80" s="17"/>
      <c r="M80" s="17"/>
      <c r="N80" s="17"/>
      <c r="O80" s="17" t="s">
        <v>161</v>
      </c>
      <c r="P80" s="17">
        <v>1</v>
      </c>
    </row>
    <row r="81" spans="1:16">
      <c r="A81" s="10">
        <v>78</v>
      </c>
      <c r="B81" s="25" t="s">
        <v>187</v>
      </c>
      <c r="C81" s="25" t="s">
        <v>188</v>
      </c>
      <c r="D81" s="13" t="str">
        <f t="shared" si="5"/>
        <v>513021********2502</v>
      </c>
      <c r="E81" s="17" t="s">
        <v>19</v>
      </c>
      <c r="F81" s="17">
        <f ca="1" t="shared" si="7"/>
        <v>76</v>
      </c>
      <c r="G81" s="17" t="s">
        <v>20</v>
      </c>
      <c r="H81" s="18">
        <v>240</v>
      </c>
      <c r="I81" s="13" t="s">
        <v>21</v>
      </c>
      <c r="J81" s="25" t="s">
        <v>148</v>
      </c>
      <c r="K81" s="25"/>
      <c r="L81" s="17"/>
      <c r="M81" s="17"/>
      <c r="N81" s="17"/>
      <c r="O81" s="17"/>
      <c r="P81" s="17">
        <v>1</v>
      </c>
    </row>
    <row r="82" spans="1:16">
      <c r="A82" s="10">
        <v>79</v>
      </c>
      <c r="B82" s="25" t="s">
        <v>189</v>
      </c>
      <c r="C82" s="25" t="s">
        <v>190</v>
      </c>
      <c r="D82" s="13" t="str">
        <f t="shared" si="5"/>
        <v>511721********5132</v>
      </c>
      <c r="E82" s="17" t="s">
        <v>31</v>
      </c>
      <c r="F82" s="17">
        <f ca="1" t="shared" si="7"/>
        <v>18</v>
      </c>
      <c r="G82" s="17" t="s">
        <v>20</v>
      </c>
      <c r="H82" s="18">
        <v>220</v>
      </c>
      <c r="I82" s="13" t="s">
        <v>21</v>
      </c>
      <c r="J82" s="25" t="s">
        <v>148</v>
      </c>
      <c r="K82" s="25"/>
      <c r="L82" s="17"/>
      <c r="M82" s="17"/>
      <c r="N82" s="17" t="s">
        <v>34</v>
      </c>
      <c r="O82" s="17"/>
      <c r="P82" s="17">
        <v>2</v>
      </c>
    </row>
    <row r="83" spans="1:16">
      <c r="A83" s="10">
        <v>80</v>
      </c>
      <c r="B83" s="25" t="s">
        <v>191</v>
      </c>
      <c r="C83" s="25" t="s">
        <v>192</v>
      </c>
      <c r="D83" s="13" t="str">
        <f t="shared" si="5"/>
        <v>513021********2508</v>
      </c>
      <c r="E83" s="32" t="s">
        <v>19</v>
      </c>
      <c r="F83" s="17">
        <f ca="1" t="shared" si="7"/>
        <v>75</v>
      </c>
      <c r="G83" s="17" t="s">
        <v>193</v>
      </c>
      <c r="H83" s="20"/>
      <c r="I83" s="13" t="s">
        <v>21</v>
      </c>
      <c r="J83" s="25" t="s">
        <v>148</v>
      </c>
      <c r="K83" s="25"/>
      <c r="L83" s="17"/>
      <c r="M83" s="17"/>
      <c r="N83" s="17" t="s">
        <v>34</v>
      </c>
      <c r="O83" s="17"/>
      <c r="P83" s="17"/>
    </row>
    <row r="84" spans="1:16">
      <c r="A84" s="10">
        <v>81</v>
      </c>
      <c r="B84" s="25" t="s">
        <v>194</v>
      </c>
      <c r="C84" s="25" t="s">
        <v>195</v>
      </c>
      <c r="D84" s="13" t="str">
        <f t="shared" si="5"/>
        <v>513021********2501</v>
      </c>
      <c r="E84" s="17" t="s">
        <v>19</v>
      </c>
      <c r="F84" s="17">
        <f ca="1" t="shared" si="7"/>
        <v>91</v>
      </c>
      <c r="G84" s="17" t="s">
        <v>20</v>
      </c>
      <c r="H84" s="18">
        <v>240</v>
      </c>
      <c r="I84" s="13" t="s">
        <v>21</v>
      </c>
      <c r="J84" s="25" t="s">
        <v>148</v>
      </c>
      <c r="K84" s="25"/>
      <c r="L84" s="17" t="str">
        <f>VLOOKUP(C84,[2]Sheet1!$B$85:$U$273,20,0)</f>
        <v>肢体三级;</v>
      </c>
      <c r="M84" s="17"/>
      <c r="N84" s="17"/>
      <c r="O84" s="17"/>
      <c r="P84" s="17">
        <v>1</v>
      </c>
    </row>
    <row r="85" spans="1:16">
      <c r="A85" s="10">
        <v>82</v>
      </c>
      <c r="B85" s="25" t="s">
        <v>196</v>
      </c>
      <c r="C85" s="25" t="s">
        <v>197</v>
      </c>
      <c r="D85" s="13" t="str">
        <f t="shared" si="5"/>
        <v>513021********2506</v>
      </c>
      <c r="E85" s="17" t="s">
        <v>19</v>
      </c>
      <c r="F85" s="17">
        <f ca="1" t="shared" si="7"/>
        <v>61</v>
      </c>
      <c r="G85" s="17" t="s">
        <v>20</v>
      </c>
      <c r="H85" s="18">
        <v>240</v>
      </c>
      <c r="I85" s="13" t="s">
        <v>21</v>
      </c>
      <c r="J85" s="25" t="s">
        <v>148</v>
      </c>
      <c r="K85" s="25"/>
      <c r="L85" s="17"/>
      <c r="M85" s="17"/>
      <c r="N85" s="17"/>
      <c r="O85" s="17"/>
      <c r="P85" s="17">
        <v>1</v>
      </c>
    </row>
    <row r="86" spans="1:16">
      <c r="A86" s="10">
        <v>83</v>
      </c>
      <c r="B86" s="25" t="s">
        <v>198</v>
      </c>
      <c r="C86" s="25" t="s">
        <v>199</v>
      </c>
      <c r="D86" s="13" t="str">
        <f t="shared" si="5"/>
        <v>513021********2506</v>
      </c>
      <c r="E86" s="17" t="s">
        <v>19</v>
      </c>
      <c r="F86" s="17">
        <f ca="1" t="shared" si="7"/>
        <v>71</v>
      </c>
      <c r="G86" s="17" t="s">
        <v>20</v>
      </c>
      <c r="H86" s="18">
        <v>240</v>
      </c>
      <c r="I86" s="13" t="s">
        <v>21</v>
      </c>
      <c r="J86" s="25" t="s">
        <v>148</v>
      </c>
      <c r="K86" s="25"/>
      <c r="L86" s="17"/>
      <c r="M86" s="17"/>
      <c r="N86" s="17"/>
      <c r="O86" s="17"/>
      <c r="P86" s="17">
        <v>1</v>
      </c>
    </row>
    <row r="87" spans="1:16">
      <c r="A87" s="10">
        <v>84</v>
      </c>
      <c r="B87" s="25" t="s">
        <v>200</v>
      </c>
      <c r="C87" s="25" t="s">
        <v>201</v>
      </c>
      <c r="D87" s="13" t="str">
        <f t="shared" si="5"/>
        <v>513021********2552</v>
      </c>
      <c r="E87" s="17" t="s">
        <v>31</v>
      </c>
      <c r="F87" s="17">
        <f ca="1" t="shared" si="7"/>
        <v>50</v>
      </c>
      <c r="G87" s="17" t="s">
        <v>20</v>
      </c>
      <c r="H87" s="18">
        <v>380</v>
      </c>
      <c r="I87" s="13" t="s">
        <v>21</v>
      </c>
      <c r="J87" s="25" t="s">
        <v>148</v>
      </c>
      <c r="K87" s="25"/>
      <c r="L87" s="17"/>
      <c r="M87" s="17"/>
      <c r="N87" s="17"/>
      <c r="O87" s="17"/>
      <c r="P87" s="17">
        <v>1</v>
      </c>
    </row>
    <row r="88" spans="1:16">
      <c r="A88" s="10">
        <v>85</v>
      </c>
      <c r="B88" s="25" t="s">
        <v>202</v>
      </c>
      <c r="C88" s="25" t="s">
        <v>203</v>
      </c>
      <c r="D88" s="13" t="str">
        <f t="shared" si="5"/>
        <v>513021********2527</v>
      </c>
      <c r="E88" s="17" t="s">
        <v>19</v>
      </c>
      <c r="F88" s="17">
        <f ca="1" t="shared" ref="F88:F118" si="8">YEAR(TODAY())-MID(C88,7,4)</f>
        <v>61</v>
      </c>
      <c r="G88" s="17" t="s">
        <v>20</v>
      </c>
      <c r="H88" s="18">
        <v>240</v>
      </c>
      <c r="I88" s="13" t="s">
        <v>21</v>
      </c>
      <c r="J88" s="25" t="s">
        <v>148</v>
      </c>
      <c r="K88" s="25"/>
      <c r="L88" s="17" t="str">
        <f>VLOOKUP(C88,[2]Sheet1!$B$85:$U$273,20,0)</f>
        <v>精神二级;</v>
      </c>
      <c r="M88" s="17"/>
      <c r="N88" s="17"/>
      <c r="O88" s="17"/>
      <c r="P88" s="17">
        <v>1</v>
      </c>
    </row>
    <row r="89" spans="1:16">
      <c r="A89" s="10">
        <v>86</v>
      </c>
      <c r="B89" s="25" t="s">
        <v>204</v>
      </c>
      <c r="C89" s="25" t="s">
        <v>205</v>
      </c>
      <c r="D89" s="13" t="str">
        <f t="shared" si="5"/>
        <v>513021********2557</v>
      </c>
      <c r="E89" s="17" t="s">
        <v>31</v>
      </c>
      <c r="F89" s="17">
        <f ca="1" t="shared" si="8"/>
        <v>59</v>
      </c>
      <c r="G89" s="17" t="s">
        <v>20</v>
      </c>
      <c r="H89" s="18">
        <v>240</v>
      </c>
      <c r="I89" s="13" t="s">
        <v>21</v>
      </c>
      <c r="J89" s="25" t="s">
        <v>148</v>
      </c>
      <c r="K89" s="25"/>
      <c r="L89" s="17" t="str">
        <f>VLOOKUP(C89,[2]Sheet1!$B$85:$U$273,20,0)</f>
        <v>肢体四级;</v>
      </c>
      <c r="M89" s="17"/>
      <c r="N89" s="17"/>
      <c r="O89" s="17"/>
      <c r="P89" s="17">
        <v>1</v>
      </c>
    </row>
    <row r="90" spans="1:16">
      <c r="A90" s="10">
        <v>87</v>
      </c>
      <c r="B90" s="25" t="s">
        <v>206</v>
      </c>
      <c r="C90" s="25" t="s">
        <v>207</v>
      </c>
      <c r="D90" s="13" t="str">
        <f t="shared" si="5"/>
        <v>513021********2567</v>
      </c>
      <c r="E90" s="17" t="s">
        <v>19</v>
      </c>
      <c r="F90" s="17">
        <f ca="1" t="shared" si="8"/>
        <v>44</v>
      </c>
      <c r="G90" s="17" t="s">
        <v>20</v>
      </c>
      <c r="H90" s="18">
        <v>380</v>
      </c>
      <c r="I90" s="13" t="s">
        <v>21</v>
      </c>
      <c r="J90" s="25" t="s">
        <v>148</v>
      </c>
      <c r="K90" s="25"/>
      <c r="L90" s="17" t="str">
        <f>VLOOKUP(C90,[2]Sheet1!$B$85:$U$273,20,0)</f>
        <v>精神二级;</v>
      </c>
      <c r="M90" s="17"/>
      <c r="N90" s="17"/>
      <c r="O90" s="17"/>
      <c r="P90" s="17">
        <v>1</v>
      </c>
    </row>
    <row r="91" spans="1:16">
      <c r="A91" s="10">
        <v>88</v>
      </c>
      <c r="B91" s="25" t="s">
        <v>208</v>
      </c>
      <c r="C91" s="25" t="s">
        <v>209</v>
      </c>
      <c r="D91" s="13" t="str">
        <f t="shared" si="5"/>
        <v>513021********2576</v>
      </c>
      <c r="E91" s="17" t="s">
        <v>31</v>
      </c>
      <c r="F91" s="17">
        <f ca="1" t="shared" si="8"/>
        <v>69</v>
      </c>
      <c r="G91" s="17" t="s">
        <v>20</v>
      </c>
      <c r="H91" s="18">
        <v>240</v>
      </c>
      <c r="I91" s="13" t="s">
        <v>21</v>
      </c>
      <c r="J91" s="25" t="s">
        <v>148</v>
      </c>
      <c r="K91" s="25"/>
      <c r="L91" s="17"/>
      <c r="M91" s="17"/>
      <c r="N91" s="17"/>
      <c r="O91" s="17"/>
      <c r="P91" s="17">
        <v>1</v>
      </c>
    </row>
    <row r="92" spans="1:16">
      <c r="A92" s="10">
        <v>89</v>
      </c>
      <c r="B92" s="25" t="s">
        <v>210</v>
      </c>
      <c r="C92" s="25" t="s">
        <v>211</v>
      </c>
      <c r="D92" s="13" t="str">
        <f t="shared" si="5"/>
        <v>513021********2505</v>
      </c>
      <c r="E92" s="17" t="s">
        <v>19</v>
      </c>
      <c r="F92" s="17">
        <f ca="1" t="shared" si="8"/>
        <v>85</v>
      </c>
      <c r="G92" s="17" t="s">
        <v>20</v>
      </c>
      <c r="H92" s="18">
        <v>240</v>
      </c>
      <c r="I92" s="13" t="s">
        <v>21</v>
      </c>
      <c r="J92" s="25" t="s">
        <v>148</v>
      </c>
      <c r="K92" s="25"/>
      <c r="L92" s="17" t="str">
        <f>VLOOKUP(C92,[2]Sheet1!$B$85:$U$273,20,0)</f>
        <v>肢体三级;</v>
      </c>
      <c r="M92" s="17"/>
      <c r="N92" s="17"/>
      <c r="O92" s="17"/>
      <c r="P92" s="17">
        <v>1</v>
      </c>
    </row>
    <row r="93" spans="1:16">
      <c r="A93" s="10">
        <v>90</v>
      </c>
      <c r="B93" s="25" t="s">
        <v>212</v>
      </c>
      <c r="C93" s="41" t="s">
        <v>213</v>
      </c>
      <c r="D93" s="13" t="str">
        <f t="shared" si="5"/>
        <v>513021********2520</v>
      </c>
      <c r="E93" s="17" t="s">
        <v>19</v>
      </c>
      <c r="F93" s="17">
        <f ca="1" t="shared" si="8"/>
        <v>85</v>
      </c>
      <c r="G93" s="17" t="s">
        <v>20</v>
      </c>
      <c r="H93" s="18">
        <v>250</v>
      </c>
      <c r="I93" s="13" t="s">
        <v>21</v>
      </c>
      <c r="J93" s="25" t="s">
        <v>148</v>
      </c>
      <c r="K93" s="25"/>
      <c r="L93" s="17"/>
      <c r="M93" s="17"/>
      <c r="N93" s="17"/>
      <c r="O93" s="17" t="s">
        <v>214</v>
      </c>
      <c r="P93" s="17">
        <v>1</v>
      </c>
    </row>
    <row r="94" spans="1:16">
      <c r="A94" s="10">
        <v>91</v>
      </c>
      <c r="B94" s="25" t="s">
        <v>215</v>
      </c>
      <c r="C94" s="25" t="s">
        <v>216</v>
      </c>
      <c r="D94" s="13" t="str">
        <f t="shared" si="5"/>
        <v>513021********2506</v>
      </c>
      <c r="E94" s="17" t="s">
        <v>19</v>
      </c>
      <c r="F94" s="17">
        <f ca="1" t="shared" si="8"/>
        <v>71</v>
      </c>
      <c r="G94" s="17" t="s">
        <v>20</v>
      </c>
      <c r="H94" s="18">
        <v>240</v>
      </c>
      <c r="I94" s="13" t="s">
        <v>21</v>
      </c>
      <c r="J94" s="25" t="s">
        <v>148</v>
      </c>
      <c r="K94" s="25"/>
      <c r="L94" s="17"/>
      <c r="M94" s="17"/>
      <c r="N94" s="17" t="s">
        <v>34</v>
      </c>
      <c r="O94" s="17"/>
      <c r="P94" s="17">
        <v>1</v>
      </c>
    </row>
    <row r="95" spans="1:16">
      <c r="A95" s="10">
        <v>92</v>
      </c>
      <c r="B95" s="25" t="s">
        <v>217</v>
      </c>
      <c r="C95" s="25" t="s">
        <v>218</v>
      </c>
      <c r="D95" s="13" t="str">
        <f t="shared" si="5"/>
        <v>513021********2502</v>
      </c>
      <c r="E95" s="17" t="s">
        <v>19</v>
      </c>
      <c r="F95" s="17">
        <f ca="1" t="shared" si="8"/>
        <v>69</v>
      </c>
      <c r="G95" s="17" t="s">
        <v>20</v>
      </c>
      <c r="H95" s="18">
        <v>240</v>
      </c>
      <c r="I95" s="13" t="s">
        <v>21</v>
      </c>
      <c r="J95" s="25" t="s">
        <v>148</v>
      </c>
      <c r="K95" s="25"/>
      <c r="L95" s="17"/>
      <c r="M95" s="17"/>
      <c r="N95" s="17" t="s">
        <v>34</v>
      </c>
      <c r="O95" s="17"/>
      <c r="P95" s="17">
        <v>1</v>
      </c>
    </row>
    <row r="96" spans="1:16">
      <c r="A96" s="10">
        <v>93</v>
      </c>
      <c r="B96" s="25" t="s">
        <v>219</v>
      </c>
      <c r="C96" s="25" t="s">
        <v>220</v>
      </c>
      <c r="D96" s="13" t="str">
        <f t="shared" si="5"/>
        <v>513021********2524</v>
      </c>
      <c r="E96" s="17" t="s">
        <v>19</v>
      </c>
      <c r="F96" s="17">
        <f ca="1" t="shared" si="8"/>
        <v>58</v>
      </c>
      <c r="G96" s="17" t="s">
        <v>20</v>
      </c>
      <c r="H96" s="18">
        <v>240</v>
      </c>
      <c r="I96" s="13" t="s">
        <v>21</v>
      </c>
      <c r="J96" s="25" t="s">
        <v>148</v>
      </c>
      <c r="K96" s="25"/>
      <c r="L96" s="17"/>
      <c r="M96" s="17"/>
      <c r="N96" s="17"/>
      <c r="O96" s="17"/>
      <c r="P96" s="17">
        <v>1</v>
      </c>
    </row>
    <row r="97" spans="1:16">
      <c r="A97" s="10">
        <v>94</v>
      </c>
      <c r="B97" s="25" t="s">
        <v>221</v>
      </c>
      <c r="C97" s="25" t="s">
        <v>222</v>
      </c>
      <c r="D97" s="13" t="str">
        <f t="shared" si="5"/>
        <v>513021********252X</v>
      </c>
      <c r="E97" s="17" t="s">
        <v>19</v>
      </c>
      <c r="F97" s="17">
        <f ca="1" t="shared" si="8"/>
        <v>85</v>
      </c>
      <c r="G97" s="17" t="s">
        <v>20</v>
      </c>
      <c r="H97" s="18">
        <v>220</v>
      </c>
      <c r="I97" s="13" t="s">
        <v>21</v>
      </c>
      <c r="J97" s="25" t="s">
        <v>148</v>
      </c>
      <c r="K97" s="25"/>
      <c r="L97" s="17"/>
      <c r="M97" s="17"/>
      <c r="N97" s="17" t="s">
        <v>34</v>
      </c>
      <c r="O97" s="17"/>
      <c r="P97" s="17">
        <v>5</v>
      </c>
    </row>
    <row r="98" spans="1:16">
      <c r="A98" s="10">
        <v>95</v>
      </c>
      <c r="B98" s="25" t="s">
        <v>223</v>
      </c>
      <c r="C98" s="25" t="s">
        <v>224</v>
      </c>
      <c r="D98" s="13" t="str">
        <f t="shared" si="5"/>
        <v>513021********2558</v>
      </c>
      <c r="E98" s="17" t="s">
        <v>31</v>
      </c>
      <c r="F98" s="17">
        <f ca="1" t="shared" si="8"/>
        <v>54</v>
      </c>
      <c r="G98" s="17"/>
      <c r="H98" s="20"/>
      <c r="I98" s="13" t="s">
        <v>21</v>
      </c>
      <c r="J98" s="25" t="s">
        <v>148</v>
      </c>
      <c r="K98" s="25"/>
      <c r="L98" s="17"/>
      <c r="M98" s="17"/>
      <c r="N98" s="17" t="s">
        <v>34</v>
      </c>
      <c r="O98" s="17"/>
      <c r="P98" s="17"/>
    </row>
    <row r="99" spans="1:16">
      <c r="A99" s="10">
        <v>96</v>
      </c>
      <c r="B99" s="17" t="s">
        <v>225</v>
      </c>
      <c r="C99" s="17" t="s">
        <v>226</v>
      </c>
      <c r="D99" s="13" t="str">
        <f t="shared" si="5"/>
        <v>513021********2501</v>
      </c>
      <c r="E99" s="17" t="s">
        <v>19</v>
      </c>
      <c r="F99" s="17">
        <f ca="1" t="shared" si="8"/>
        <v>57</v>
      </c>
      <c r="G99" s="17"/>
      <c r="H99" s="20"/>
      <c r="I99" s="13" t="s">
        <v>21</v>
      </c>
      <c r="J99" s="25" t="s">
        <v>148</v>
      </c>
      <c r="K99" s="25"/>
      <c r="L99" s="17"/>
      <c r="M99" s="17"/>
      <c r="N99" s="17" t="s">
        <v>34</v>
      </c>
      <c r="O99" s="17"/>
      <c r="P99" s="17"/>
    </row>
    <row r="100" spans="1:16">
      <c r="A100" s="10">
        <v>97</v>
      </c>
      <c r="B100" s="17" t="s">
        <v>227</v>
      </c>
      <c r="C100" s="17" t="s">
        <v>228</v>
      </c>
      <c r="D100" s="13" t="str">
        <f t="shared" si="5"/>
        <v>513021********0442</v>
      </c>
      <c r="E100" s="17" t="s">
        <v>19</v>
      </c>
      <c r="F100" s="17">
        <f ca="1" t="shared" si="8"/>
        <v>54</v>
      </c>
      <c r="G100" s="17"/>
      <c r="H100" s="20"/>
      <c r="I100" s="13" t="s">
        <v>21</v>
      </c>
      <c r="J100" s="25" t="s">
        <v>148</v>
      </c>
      <c r="K100" s="25"/>
      <c r="L100" s="17"/>
      <c r="M100" s="17"/>
      <c r="N100" s="17" t="s">
        <v>34</v>
      </c>
      <c r="O100" s="17"/>
      <c r="P100" s="17"/>
    </row>
    <row r="101" spans="1:16">
      <c r="A101" s="10">
        <v>98</v>
      </c>
      <c r="B101" s="17" t="s">
        <v>229</v>
      </c>
      <c r="C101" s="17" t="s">
        <v>230</v>
      </c>
      <c r="D101" s="13" t="str">
        <f t="shared" si="5"/>
        <v>513021********2572</v>
      </c>
      <c r="E101" s="17" t="s">
        <v>31</v>
      </c>
      <c r="F101" s="17">
        <f ca="1" t="shared" si="8"/>
        <v>31</v>
      </c>
      <c r="G101" s="17"/>
      <c r="H101" s="20"/>
      <c r="I101" s="13" t="s">
        <v>21</v>
      </c>
      <c r="J101" s="25" t="s">
        <v>148</v>
      </c>
      <c r="K101" s="25"/>
      <c r="L101" s="17"/>
      <c r="M101" s="17"/>
      <c r="N101" s="17" t="s">
        <v>34</v>
      </c>
      <c r="O101" s="17"/>
      <c r="P101" s="17"/>
    </row>
    <row r="102" spans="1:16">
      <c r="A102" s="10">
        <v>99</v>
      </c>
      <c r="B102" s="25" t="s">
        <v>231</v>
      </c>
      <c r="C102" s="25" t="s">
        <v>232</v>
      </c>
      <c r="D102" s="13" t="str">
        <f t="shared" si="5"/>
        <v>513021********2506</v>
      </c>
      <c r="E102" s="17" t="s">
        <v>19</v>
      </c>
      <c r="F102" s="17">
        <f ca="1" t="shared" si="8"/>
        <v>88</v>
      </c>
      <c r="G102" s="17" t="s">
        <v>20</v>
      </c>
      <c r="H102" s="18">
        <v>240</v>
      </c>
      <c r="I102" s="13" t="s">
        <v>21</v>
      </c>
      <c r="J102" s="25" t="s">
        <v>148</v>
      </c>
      <c r="K102" s="25"/>
      <c r="L102" s="17"/>
      <c r="M102" s="17"/>
      <c r="N102" s="17"/>
      <c r="O102" s="17"/>
      <c r="P102" s="17">
        <v>1</v>
      </c>
    </row>
    <row r="103" spans="1:16">
      <c r="A103" s="10">
        <v>100</v>
      </c>
      <c r="B103" s="25" t="s">
        <v>233</v>
      </c>
      <c r="C103" s="25" t="s">
        <v>234</v>
      </c>
      <c r="D103" s="13" t="str">
        <f t="shared" si="5"/>
        <v>513021********2507</v>
      </c>
      <c r="E103" s="17" t="s">
        <v>19</v>
      </c>
      <c r="F103" s="17">
        <f ca="1" t="shared" si="8"/>
        <v>77</v>
      </c>
      <c r="G103" s="17" t="s">
        <v>20</v>
      </c>
      <c r="H103" s="18">
        <v>240</v>
      </c>
      <c r="I103" s="13" t="s">
        <v>21</v>
      </c>
      <c r="J103" s="25" t="s">
        <v>148</v>
      </c>
      <c r="K103" s="25"/>
      <c r="L103" s="17"/>
      <c r="M103" s="17"/>
      <c r="N103" s="17"/>
      <c r="O103" s="17"/>
      <c r="P103" s="17">
        <v>1</v>
      </c>
    </row>
    <row r="104" spans="1:16">
      <c r="A104" s="10">
        <v>101</v>
      </c>
      <c r="B104" s="25" t="s">
        <v>235</v>
      </c>
      <c r="C104" s="25" t="s">
        <v>236</v>
      </c>
      <c r="D104" s="13" t="str">
        <f t="shared" si="5"/>
        <v>513021********0873</v>
      </c>
      <c r="E104" s="17" t="s">
        <v>31</v>
      </c>
      <c r="F104" s="17">
        <f ca="1" t="shared" si="8"/>
        <v>47</v>
      </c>
      <c r="G104" s="17" t="s">
        <v>20</v>
      </c>
      <c r="H104" s="18">
        <v>220</v>
      </c>
      <c r="I104" s="13" t="s">
        <v>21</v>
      </c>
      <c r="J104" s="25" t="s">
        <v>148</v>
      </c>
      <c r="K104" s="25"/>
      <c r="L104" s="17"/>
      <c r="M104" s="17"/>
      <c r="N104" s="17" t="s">
        <v>34</v>
      </c>
      <c r="O104" s="17"/>
      <c r="P104" s="17">
        <v>5</v>
      </c>
    </row>
    <row r="105" spans="1:16">
      <c r="A105" s="10">
        <v>102</v>
      </c>
      <c r="B105" s="25" t="s">
        <v>237</v>
      </c>
      <c r="C105" s="25" t="s">
        <v>238</v>
      </c>
      <c r="D105" s="13" t="str">
        <f t="shared" si="5"/>
        <v>522124********1224</v>
      </c>
      <c r="E105" s="17" t="s">
        <v>19</v>
      </c>
      <c r="F105" s="17">
        <f ca="1" t="shared" si="8"/>
        <v>40</v>
      </c>
      <c r="G105" s="17" t="s">
        <v>37</v>
      </c>
      <c r="H105" s="20"/>
      <c r="I105" s="13" t="s">
        <v>21</v>
      </c>
      <c r="J105" s="25" t="s">
        <v>148</v>
      </c>
      <c r="K105" s="25"/>
      <c r="L105" s="17"/>
      <c r="M105" s="17"/>
      <c r="N105" s="17" t="s">
        <v>34</v>
      </c>
      <c r="O105" s="17"/>
      <c r="P105" s="17"/>
    </row>
    <row r="106" spans="1:16">
      <c r="A106" s="10">
        <v>103</v>
      </c>
      <c r="B106" s="17" t="s">
        <v>239</v>
      </c>
      <c r="C106" s="17" t="s">
        <v>240</v>
      </c>
      <c r="D106" s="13" t="str">
        <f t="shared" si="5"/>
        <v>511721********4690</v>
      </c>
      <c r="E106" s="17" t="s">
        <v>31</v>
      </c>
      <c r="F106" s="17">
        <f ca="1" t="shared" si="8"/>
        <v>17</v>
      </c>
      <c r="G106" s="17"/>
      <c r="H106" s="20"/>
      <c r="I106" s="13" t="s">
        <v>21</v>
      </c>
      <c r="J106" s="25" t="s">
        <v>148</v>
      </c>
      <c r="K106" s="25"/>
      <c r="L106" s="17" t="str">
        <f>VLOOKUP(C106,[2]Sheet1!$B$85:$U$273,20,0)</f>
        <v>智力二级;</v>
      </c>
      <c r="M106" s="17"/>
      <c r="N106" s="17" t="s">
        <v>34</v>
      </c>
      <c r="O106" s="17"/>
      <c r="P106" s="17"/>
    </row>
    <row r="107" spans="1:16">
      <c r="A107" s="10">
        <v>104</v>
      </c>
      <c r="B107" s="17" t="s">
        <v>241</v>
      </c>
      <c r="C107" s="17" t="s">
        <v>242</v>
      </c>
      <c r="D107" s="13" t="str">
        <f t="shared" si="5"/>
        <v>511721********4685</v>
      </c>
      <c r="E107" s="17" t="s">
        <v>19</v>
      </c>
      <c r="F107" s="17">
        <f ca="1" t="shared" si="8"/>
        <v>15</v>
      </c>
      <c r="G107" s="17"/>
      <c r="H107" s="20"/>
      <c r="I107" s="13" t="s">
        <v>21</v>
      </c>
      <c r="J107" s="25" t="s">
        <v>148</v>
      </c>
      <c r="K107" s="25"/>
      <c r="L107" s="17"/>
      <c r="M107" s="17"/>
      <c r="N107" s="17" t="s">
        <v>34</v>
      </c>
      <c r="O107" s="17"/>
      <c r="P107" s="17"/>
    </row>
    <row r="108" spans="1:16">
      <c r="A108" s="10">
        <v>105</v>
      </c>
      <c r="B108" s="17" t="s">
        <v>243</v>
      </c>
      <c r="C108" s="17" t="s">
        <v>244</v>
      </c>
      <c r="D108" s="13" t="str">
        <f t="shared" si="5"/>
        <v>513021********0863</v>
      </c>
      <c r="E108" s="17" t="s">
        <v>19</v>
      </c>
      <c r="F108" s="17">
        <f ca="1" t="shared" si="8"/>
        <v>71</v>
      </c>
      <c r="G108" s="17"/>
      <c r="H108" s="20"/>
      <c r="I108" s="13" t="s">
        <v>21</v>
      </c>
      <c r="J108" s="25" t="s">
        <v>148</v>
      </c>
      <c r="K108" s="25"/>
      <c r="L108" s="17"/>
      <c r="M108" s="17"/>
      <c r="N108" s="17" t="s">
        <v>34</v>
      </c>
      <c r="O108" s="17"/>
      <c r="P108" s="17"/>
    </row>
    <row r="109" spans="1:16">
      <c r="A109" s="10">
        <v>106</v>
      </c>
      <c r="B109" s="25" t="s">
        <v>245</v>
      </c>
      <c r="C109" s="25" t="s">
        <v>246</v>
      </c>
      <c r="D109" s="13" t="str">
        <f t="shared" si="5"/>
        <v>513021********2576</v>
      </c>
      <c r="E109" s="17" t="s">
        <v>31</v>
      </c>
      <c r="F109" s="17">
        <f ca="1" t="shared" si="8"/>
        <v>57</v>
      </c>
      <c r="G109" s="17" t="s">
        <v>20</v>
      </c>
      <c r="H109" s="18">
        <v>380</v>
      </c>
      <c r="I109" s="13" t="s">
        <v>21</v>
      </c>
      <c r="J109" s="25" t="s">
        <v>148</v>
      </c>
      <c r="K109" s="25"/>
      <c r="L109" s="17" t="str">
        <f>VLOOKUP(C109,[2]Sheet1!$B$85:$U$273,20,0)</f>
        <v>听力二级;</v>
      </c>
      <c r="M109" s="17"/>
      <c r="N109" s="17" t="s">
        <v>34</v>
      </c>
      <c r="O109" s="17"/>
      <c r="P109" s="17">
        <v>1</v>
      </c>
    </row>
    <row r="110" spans="1:16">
      <c r="A110" s="10">
        <v>107</v>
      </c>
      <c r="B110" s="25" t="s">
        <v>247</v>
      </c>
      <c r="C110" s="25" t="s">
        <v>248</v>
      </c>
      <c r="D110" s="13" t="str">
        <f t="shared" si="5"/>
        <v>513021********2578</v>
      </c>
      <c r="E110" s="17" t="s">
        <v>31</v>
      </c>
      <c r="F110" s="17">
        <f ca="1" t="shared" si="8"/>
        <v>62</v>
      </c>
      <c r="G110" s="17" t="s">
        <v>20</v>
      </c>
      <c r="H110" s="18">
        <v>220</v>
      </c>
      <c r="I110" s="13" t="s">
        <v>21</v>
      </c>
      <c r="J110" s="25" t="s">
        <v>148</v>
      </c>
      <c r="K110" s="25"/>
      <c r="L110" s="17"/>
      <c r="M110" s="17"/>
      <c r="N110" s="17" t="s">
        <v>34</v>
      </c>
      <c r="O110" s="17"/>
      <c r="P110" s="17">
        <v>2</v>
      </c>
    </row>
    <row r="111" spans="1:16">
      <c r="A111" s="10">
        <v>108</v>
      </c>
      <c r="B111" s="25" t="s">
        <v>249</v>
      </c>
      <c r="C111" s="25" t="s">
        <v>250</v>
      </c>
      <c r="D111" s="13" t="str">
        <f t="shared" si="5"/>
        <v>513021********2505</v>
      </c>
      <c r="E111" s="17" t="s">
        <v>19</v>
      </c>
      <c r="F111" s="17">
        <f ca="1" t="shared" si="8"/>
        <v>37</v>
      </c>
      <c r="G111" s="17" t="s">
        <v>251</v>
      </c>
      <c r="H111" s="20"/>
      <c r="I111" s="13" t="s">
        <v>21</v>
      </c>
      <c r="J111" s="25" t="s">
        <v>148</v>
      </c>
      <c r="K111" s="25"/>
      <c r="L111" s="17"/>
      <c r="M111" s="17"/>
      <c r="N111" s="17"/>
      <c r="O111" s="17"/>
      <c r="P111" s="17"/>
    </row>
    <row r="112" spans="1:16">
      <c r="A112" s="10">
        <v>109</v>
      </c>
      <c r="B112" s="25" t="s">
        <v>252</v>
      </c>
      <c r="C112" s="25" t="s">
        <v>253</v>
      </c>
      <c r="D112" s="13" t="str">
        <f t="shared" si="5"/>
        <v>513021********0446</v>
      </c>
      <c r="E112" s="17" t="s">
        <v>19</v>
      </c>
      <c r="F112" s="17">
        <f ca="1" t="shared" si="8"/>
        <v>54</v>
      </c>
      <c r="G112" s="17" t="s">
        <v>20</v>
      </c>
      <c r="H112" s="20">
        <v>220</v>
      </c>
      <c r="I112" s="13" t="s">
        <v>21</v>
      </c>
      <c r="J112" s="25" t="s">
        <v>148</v>
      </c>
      <c r="K112" s="25"/>
      <c r="L112" s="17" t="str">
        <f>VLOOKUP(C112,[2]Sheet1!$B$85:$U$273,20,0)</f>
        <v>智力三级;</v>
      </c>
      <c r="M112" s="17"/>
      <c r="N112" s="17" t="s">
        <v>34</v>
      </c>
      <c r="O112" s="17"/>
      <c r="P112" s="17">
        <v>2</v>
      </c>
    </row>
    <row r="113" spans="1:16">
      <c r="A113" s="10">
        <v>110</v>
      </c>
      <c r="B113" s="17" t="s">
        <v>254</v>
      </c>
      <c r="C113" s="17" t="s">
        <v>255</v>
      </c>
      <c r="D113" s="13" t="str">
        <f t="shared" si="5"/>
        <v>511721********5149</v>
      </c>
      <c r="E113" s="32" t="s">
        <v>19</v>
      </c>
      <c r="F113" s="17">
        <f ca="1" t="shared" si="8"/>
        <v>20</v>
      </c>
      <c r="G113" s="17"/>
      <c r="H113" s="20"/>
      <c r="I113" s="13" t="s">
        <v>21</v>
      </c>
      <c r="J113" s="25" t="s">
        <v>148</v>
      </c>
      <c r="K113" s="25"/>
      <c r="L113" s="17"/>
      <c r="M113" s="17"/>
      <c r="N113" s="17" t="s">
        <v>34</v>
      </c>
      <c r="O113" s="17"/>
      <c r="P113" s="17"/>
    </row>
    <row r="114" spans="1:16">
      <c r="A114" s="10">
        <v>111</v>
      </c>
      <c r="B114" s="25" t="s">
        <v>256</v>
      </c>
      <c r="C114" s="25" t="s">
        <v>257</v>
      </c>
      <c r="D114" s="13" t="str">
        <f t="shared" si="5"/>
        <v>513021********0644</v>
      </c>
      <c r="E114" s="17" t="s">
        <v>19</v>
      </c>
      <c r="F114" s="17">
        <f ca="1" t="shared" si="8"/>
        <v>54</v>
      </c>
      <c r="G114" s="17" t="s">
        <v>20</v>
      </c>
      <c r="H114" s="18">
        <v>220</v>
      </c>
      <c r="I114" s="13" t="s">
        <v>21</v>
      </c>
      <c r="J114" s="25" t="s">
        <v>148</v>
      </c>
      <c r="K114" s="25"/>
      <c r="L114" s="17"/>
      <c r="M114" s="17"/>
      <c r="N114" s="17"/>
      <c r="O114" s="17"/>
      <c r="P114" s="17">
        <v>3</v>
      </c>
    </row>
    <row r="115" spans="1:16">
      <c r="A115" s="10">
        <v>112</v>
      </c>
      <c r="B115" s="25" t="s">
        <v>258</v>
      </c>
      <c r="C115" s="25" t="s">
        <v>259</v>
      </c>
      <c r="D115" s="13" t="str">
        <f t="shared" si="5"/>
        <v>513021********0892</v>
      </c>
      <c r="E115" s="17" t="s">
        <v>31</v>
      </c>
      <c r="F115" s="17">
        <f ca="1" t="shared" si="8"/>
        <v>57</v>
      </c>
      <c r="G115" s="17" t="s">
        <v>37</v>
      </c>
      <c r="H115" s="20"/>
      <c r="I115" s="13" t="s">
        <v>21</v>
      </c>
      <c r="J115" s="25" t="s">
        <v>148</v>
      </c>
      <c r="K115" s="25"/>
      <c r="L115" s="17" t="str">
        <f>VLOOKUP(C115,[2]Sheet1!$B$85:$U$273,20,0)</f>
        <v>肢体四级;</v>
      </c>
      <c r="M115" s="17"/>
      <c r="N115" s="17"/>
      <c r="O115" s="17"/>
      <c r="P115" s="17"/>
    </row>
    <row r="116" spans="1:16">
      <c r="A116" s="10">
        <v>113</v>
      </c>
      <c r="B116" s="17" t="s">
        <v>260</v>
      </c>
      <c r="C116" s="17" t="s">
        <v>261</v>
      </c>
      <c r="D116" s="13" t="str">
        <f t="shared" si="5"/>
        <v>511721********4674</v>
      </c>
      <c r="E116" s="17" t="s">
        <v>31</v>
      </c>
      <c r="F116" s="17">
        <f ca="1" t="shared" si="8"/>
        <v>13</v>
      </c>
      <c r="G116" s="17"/>
      <c r="H116" s="20"/>
      <c r="I116" s="13" t="s">
        <v>21</v>
      </c>
      <c r="J116" s="25" t="s">
        <v>148</v>
      </c>
      <c r="K116" s="25"/>
      <c r="L116" s="17"/>
      <c r="M116" s="17"/>
      <c r="N116" s="17"/>
      <c r="O116" s="17"/>
      <c r="P116" s="17"/>
    </row>
    <row r="117" spans="1:16">
      <c r="A117" s="10">
        <v>114</v>
      </c>
      <c r="B117" s="25" t="s">
        <v>262</v>
      </c>
      <c r="C117" s="25" t="s">
        <v>263</v>
      </c>
      <c r="D117" s="13" t="str">
        <f t="shared" si="5"/>
        <v>513021********0466</v>
      </c>
      <c r="E117" s="17" t="s">
        <v>19</v>
      </c>
      <c r="F117" s="17">
        <f ca="1" t="shared" ref="F117:F150" si="9">YEAR(TODAY())-MID(C117,7,4)</f>
        <v>54</v>
      </c>
      <c r="G117" s="17" t="s">
        <v>20</v>
      </c>
      <c r="H117" s="18">
        <v>240</v>
      </c>
      <c r="I117" s="13" t="s">
        <v>21</v>
      </c>
      <c r="J117" s="25" t="s">
        <v>148</v>
      </c>
      <c r="K117" s="25"/>
      <c r="L117" s="17" t="str">
        <f>VLOOKUP(C117,[2]Sheet1!$B$85:$U$273,20,0)</f>
        <v>视力一级;</v>
      </c>
      <c r="M117" s="17"/>
      <c r="N117" s="17"/>
      <c r="O117" s="17"/>
      <c r="P117" s="17">
        <v>1</v>
      </c>
    </row>
    <row r="118" spans="1:16">
      <c r="A118" s="10">
        <v>115</v>
      </c>
      <c r="B118" s="25" t="s">
        <v>264</v>
      </c>
      <c r="C118" s="25" t="s">
        <v>265</v>
      </c>
      <c r="D118" s="13" t="str">
        <f t="shared" si="5"/>
        <v>513021********2506</v>
      </c>
      <c r="E118" s="17" t="s">
        <v>19</v>
      </c>
      <c r="F118" s="17">
        <f ca="1" t="shared" si="9"/>
        <v>54</v>
      </c>
      <c r="G118" s="17" t="s">
        <v>20</v>
      </c>
      <c r="H118" s="18">
        <v>240</v>
      </c>
      <c r="I118" s="13" t="s">
        <v>21</v>
      </c>
      <c r="J118" s="25" t="s">
        <v>148</v>
      </c>
      <c r="K118" s="25"/>
      <c r="L118" s="17"/>
      <c r="M118" s="17"/>
      <c r="N118" s="17"/>
      <c r="O118" s="17"/>
      <c r="P118" s="17">
        <v>1</v>
      </c>
    </row>
    <row r="119" spans="1:16">
      <c r="A119" s="10">
        <v>116</v>
      </c>
      <c r="B119" s="25" t="s">
        <v>266</v>
      </c>
      <c r="C119" s="25" t="s">
        <v>267</v>
      </c>
      <c r="D119" s="13" t="str">
        <f t="shared" si="5"/>
        <v>513021********2575</v>
      </c>
      <c r="E119" s="17" t="s">
        <v>31</v>
      </c>
      <c r="F119" s="17">
        <f ca="1" t="shared" si="9"/>
        <v>57</v>
      </c>
      <c r="G119" s="17" t="s">
        <v>20</v>
      </c>
      <c r="H119" s="18">
        <v>220</v>
      </c>
      <c r="I119" s="13" t="s">
        <v>21</v>
      </c>
      <c r="J119" s="25" t="s">
        <v>148</v>
      </c>
      <c r="K119" s="25"/>
      <c r="L119" s="17"/>
      <c r="M119" s="17"/>
      <c r="N119" s="17" t="s">
        <v>34</v>
      </c>
      <c r="O119" s="17"/>
      <c r="P119" s="17">
        <v>5</v>
      </c>
    </row>
    <row r="120" spans="1:16">
      <c r="A120" s="10">
        <v>117</v>
      </c>
      <c r="B120" s="25" t="s">
        <v>268</v>
      </c>
      <c r="C120" s="25" t="s">
        <v>269</v>
      </c>
      <c r="D120" s="13" t="str">
        <f t="shared" si="5"/>
        <v>513021********254X</v>
      </c>
      <c r="E120" s="17" t="s">
        <v>19</v>
      </c>
      <c r="F120" s="17">
        <f ca="1" t="shared" si="9"/>
        <v>56</v>
      </c>
      <c r="G120" s="17" t="s">
        <v>37</v>
      </c>
      <c r="H120" s="20"/>
      <c r="I120" s="13" t="s">
        <v>21</v>
      </c>
      <c r="J120" s="25" t="s">
        <v>148</v>
      </c>
      <c r="K120" s="25"/>
      <c r="L120" s="17"/>
      <c r="M120" s="17"/>
      <c r="N120" s="17" t="s">
        <v>34</v>
      </c>
      <c r="O120" s="17"/>
      <c r="P120" s="17"/>
    </row>
    <row r="121" spans="1:16">
      <c r="A121" s="10">
        <v>118</v>
      </c>
      <c r="B121" s="17" t="s">
        <v>270</v>
      </c>
      <c r="C121" s="17" t="s">
        <v>271</v>
      </c>
      <c r="D121" s="13" t="str">
        <f t="shared" si="5"/>
        <v>511721********513X</v>
      </c>
      <c r="E121" s="17" t="s">
        <v>31</v>
      </c>
      <c r="F121" s="17">
        <f ca="1" t="shared" si="9"/>
        <v>22</v>
      </c>
      <c r="G121" s="17"/>
      <c r="H121" s="20"/>
      <c r="I121" s="13" t="s">
        <v>21</v>
      </c>
      <c r="J121" s="25" t="s">
        <v>148</v>
      </c>
      <c r="K121" s="25"/>
      <c r="L121" s="17"/>
      <c r="M121" s="17"/>
      <c r="N121" s="17" t="s">
        <v>34</v>
      </c>
      <c r="O121" s="17"/>
      <c r="P121" s="17"/>
    </row>
    <row r="122" spans="1:16">
      <c r="A122" s="10">
        <v>119</v>
      </c>
      <c r="B122" s="17" t="s">
        <v>272</v>
      </c>
      <c r="C122" s="17" t="s">
        <v>273</v>
      </c>
      <c r="D122" s="13" t="str">
        <f t="shared" si="5"/>
        <v>513021********2527</v>
      </c>
      <c r="E122" s="17" t="s">
        <v>19</v>
      </c>
      <c r="F122" s="17">
        <f ca="1" t="shared" si="9"/>
        <v>34</v>
      </c>
      <c r="G122" s="17"/>
      <c r="H122" s="20"/>
      <c r="I122" s="13" t="s">
        <v>21</v>
      </c>
      <c r="J122" s="25" t="s">
        <v>148</v>
      </c>
      <c r="K122" s="25"/>
      <c r="L122" s="17"/>
      <c r="M122" s="17"/>
      <c r="N122" s="17" t="s">
        <v>34</v>
      </c>
      <c r="O122" s="17"/>
      <c r="P122" s="17"/>
    </row>
    <row r="123" spans="1:16">
      <c r="A123" s="10">
        <v>120</v>
      </c>
      <c r="B123" s="17" t="s">
        <v>274</v>
      </c>
      <c r="C123" s="17" t="s">
        <v>275</v>
      </c>
      <c r="D123" s="13" t="str">
        <f t="shared" si="5"/>
        <v>511721********5144</v>
      </c>
      <c r="E123" s="17" t="s">
        <v>19</v>
      </c>
      <c r="F123" s="17">
        <f ca="1" t="shared" si="9"/>
        <v>10</v>
      </c>
      <c r="G123" s="17"/>
      <c r="H123" s="20"/>
      <c r="I123" s="13" t="s">
        <v>21</v>
      </c>
      <c r="J123" s="25" t="s">
        <v>148</v>
      </c>
      <c r="K123" s="25"/>
      <c r="L123" s="17"/>
      <c r="M123" s="17"/>
      <c r="N123" s="17" t="s">
        <v>34</v>
      </c>
      <c r="O123" s="17"/>
      <c r="P123" s="17"/>
    </row>
    <row r="124" spans="1:16">
      <c r="A124" s="10">
        <v>121</v>
      </c>
      <c r="B124" s="25" t="s">
        <v>276</v>
      </c>
      <c r="C124" s="25" t="s">
        <v>277</v>
      </c>
      <c r="D124" s="13" t="str">
        <f t="shared" si="5"/>
        <v>513021********2550</v>
      </c>
      <c r="E124" s="17" t="s">
        <v>31</v>
      </c>
      <c r="F124" s="17">
        <f ca="1" t="shared" si="9"/>
        <v>71</v>
      </c>
      <c r="G124" s="17" t="s">
        <v>20</v>
      </c>
      <c r="H124" s="18">
        <v>380</v>
      </c>
      <c r="I124" s="13" t="s">
        <v>21</v>
      </c>
      <c r="J124" s="25" t="s">
        <v>148</v>
      </c>
      <c r="K124" s="25"/>
      <c r="L124" s="17" t="str">
        <f>VLOOKUP(C124,[2]Sheet1!$B$85:$U$273,20,0)</f>
        <v>言语三级;肢体四级;</v>
      </c>
      <c r="M124" s="33" t="s">
        <v>278</v>
      </c>
      <c r="N124" s="17"/>
      <c r="O124" s="17"/>
      <c r="P124" s="17">
        <v>1</v>
      </c>
    </row>
    <row r="125" spans="1:16">
      <c r="A125" s="10">
        <v>122</v>
      </c>
      <c r="B125" s="25" t="s">
        <v>279</v>
      </c>
      <c r="C125" s="25" t="s">
        <v>280</v>
      </c>
      <c r="D125" s="13" t="str">
        <f t="shared" si="5"/>
        <v>513021********2504</v>
      </c>
      <c r="E125" s="17" t="s">
        <v>19</v>
      </c>
      <c r="F125" s="17">
        <f ca="1" t="shared" si="9"/>
        <v>86</v>
      </c>
      <c r="G125" s="17" t="s">
        <v>20</v>
      </c>
      <c r="H125" s="18">
        <v>240</v>
      </c>
      <c r="I125" s="13" t="s">
        <v>21</v>
      </c>
      <c r="J125" s="25" t="s">
        <v>148</v>
      </c>
      <c r="K125" s="25"/>
      <c r="L125" s="17"/>
      <c r="M125" s="17"/>
      <c r="N125" s="17"/>
      <c r="O125" s="17"/>
      <c r="P125" s="17">
        <v>1</v>
      </c>
    </row>
    <row r="126" spans="1:16">
      <c r="A126" s="10">
        <v>123</v>
      </c>
      <c r="B126" s="25" t="s">
        <v>281</v>
      </c>
      <c r="C126" s="25" t="s">
        <v>282</v>
      </c>
      <c r="D126" s="13" t="str">
        <f t="shared" si="5"/>
        <v>513021********255X</v>
      </c>
      <c r="E126" s="17" t="s">
        <v>31</v>
      </c>
      <c r="F126" s="17">
        <f ca="1" t="shared" si="9"/>
        <v>58</v>
      </c>
      <c r="G126" s="17" t="s">
        <v>20</v>
      </c>
      <c r="H126" s="18">
        <v>220</v>
      </c>
      <c r="I126" s="13" t="s">
        <v>21</v>
      </c>
      <c r="J126" s="25" t="s">
        <v>148</v>
      </c>
      <c r="K126" s="25"/>
      <c r="L126" s="17" t="str">
        <f>VLOOKUP(C126,[2]Sheet1!$B$85:$U$273,20,0)</f>
        <v>精神三级;</v>
      </c>
      <c r="M126" s="17"/>
      <c r="N126" s="17"/>
      <c r="O126" s="17"/>
      <c r="P126" s="17">
        <v>2</v>
      </c>
    </row>
    <row r="127" spans="1:16">
      <c r="A127" s="10">
        <v>124</v>
      </c>
      <c r="B127" s="25" t="s">
        <v>283</v>
      </c>
      <c r="C127" s="25" t="s">
        <v>284</v>
      </c>
      <c r="D127" s="13" t="str">
        <f t="shared" si="5"/>
        <v>513021********2503</v>
      </c>
      <c r="E127" s="17" t="s">
        <v>19</v>
      </c>
      <c r="F127" s="17">
        <f ca="1" t="shared" si="9"/>
        <v>87</v>
      </c>
      <c r="G127" s="17" t="s">
        <v>285</v>
      </c>
      <c r="H127" s="20"/>
      <c r="I127" s="13" t="s">
        <v>21</v>
      </c>
      <c r="J127" s="25" t="s">
        <v>148</v>
      </c>
      <c r="K127" s="25"/>
      <c r="L127" s="17"/>
      <c r="M127" s="17"/>
      <c r="N127" s="17"/>
      <c r="O127" s="17"/>
      <c r="P127" s="17"/>
    </row>
    <row r="128" spans="1:16">
      <c r="A128" s="10">
        <v>125</v>
      </c>
      <c r="B128" s="25" t="s">
        <v>286</v>
      </c>
      <c r="C128" s="25" t="s">
        <v>287</v>
      </c>
      <c r="D128" s="13" t="str">
        <f t="shared" si="5"/>
        <v>513021********2542</v>
      </c>
      <c r="E128" s="17" t="s">
        <v>19</v>
      </c>
      <c r="F128" s="17">
        <f ca="1" t="shared" si="9"/>
        <v>48</v>
      </c>
      <c r="G128" s="17" t="s">
        <v>20</v>
      </c>
      <c r="H128" s="18">
        <v>240</v>
      </c>
      <c r="I128" s="13" t="s">
        <v>21</v>
      </c>
      <c r="J128" s="25" t="s">
        <v>148</v>
      </c>
      <c r="K128" s="25"/>
      <c r="L128" s="17"/>
      <c r="M128" s="17"/>
      <c r="N128" s="17"/>
      <c r="O128" s="17"/>
      <c r="P128" s="17">
        <v>1</v>
      </c>
    </row>
    <row r="129" spans="1:16">
      <c r="A129" s="10">
        <v>126</v>
      </c>
      <c r="B129" s="25" t="s">
        <v>288</v>
      </c>
      <c r="C129" s="25" t="s">
        <v>289</v>
      </c>
      <c r="D129" s="13" t="str">
        <f t="shared" si="5"/>
        <v>513021********2550</v>
      </c>
      <c r="E129" s="17" t="s">
        <v>31</v>
      </c>
      <c r="F129" s="17">
        <f ca="1" t="shared" si="9"/>
        <v>62</v>
      </c>
      <c r="G129" s="17" t="s">
        <v>20</v>
      </c>
      <c r="H129" s="18">
        <v>240</v>
      </c>
      <c r="I129" s="13" t="s">
        <v>21</v>
      </c>
      <c r="J129" s="25" t="s">
        <v>148</v>
      </c>
      <c r="K129" s="25"/>
      <c r="L129" s="17"/>
      <c r="M129" s="17"/>
      <c r="N129" s="17"/>
      <c r="O129" s="17"/>
      <c r="P129" s="17">
        <v>1</v>
      </c>
    </row>
    <row r="130" spans="1:16">
      <c r="A130" s="10">
        <v>127</v>
      </c>
      <c r="B130" s="25" t="s">
        <v>290</v>
      </c>
      <c r="C130" s="25" t="s">
        <v>291</v>
      </c>
      <c r="D130" s="13" t="str">
        <f t="shared" si="5"/>
        <v>513021********2554</v>
      </c>
      <c r="E130" s="17" t="s">
        <v>31</v>
      </c>
      <c r="F130" s="17">
        <f ca="1" t="shared" si="9"/>
        <v>78</v>
      </c>
      <c r="G130" s="17" t="s">
        <v>20</v>
      </c>
      <c r="H130" s="18">
        <v>220</v>
      </c>
      <c r="I130" s="13" t="s">
        <v>21</v>
      </c>
      <c r="J130" s="25" t="s">
        <v>148</v>
      </c>
      <c r="K130" s="25"/>
      <c r="L130" s="17"/>
      <c r="M130" s="17"/>
      <c r="N130" s="17" t="s">
        <v>34</v>
      </c>
      <c r="O130" s="17"/>
      <c r="P130" s="17">
        <v>3</v>
      </c>
    </row>
    <row r="131" spans="1:16">
      <c r="A131" s="10">
        <v>128</v>
      </c>
      <c r="B131" s="25" t="s">
        <v>292</v>
      </c>
      <c r="C131" s="25" t="s">
        <v>293</v>
      </c>
      <c r="D131" s="13" t="str">
        <f t="shared" si="5"/>
        <v>513021********2558</v>
      </c>
      <c r="E131" s="17" t="s">
        <v>31</v>
      </c>
      <c r="F131" s="17">
        <f ca="1" t="shared" si="9"/>
        <v>51</v>
      </c>
      <c r="G131" s="17" t="s">
        <v>145</v>
      </c>
      <c r="H131" s="20"/>
      <c r="I131" s="13" t="s">
        <v>21</v>
      </c>
      <c r="J131" s="25" t="s">
        <v>148</v>
      </c>
      <c r="K131" s="25"/>
      <c r="L131" s="17"/>
      <c r="M131" s="17"/>
      <c r="N131" s="17" t="s">
        <v>34</v>
      </c>
      <c r="O131" s="17"/>
      <c r="P131" s="17"/>
    </row>
    <row r="132" spans="1:16">
      <c r="A132" s="10">
        <v>129</v>
      </c>
      <c r="B132" s="17" t="s">
        <v>294</v>
      </c>
      <c r="C132" s="17" t="s">
        <v>295</v>
      </c>
      <c r="D132" s="13" t="str">
        <f t="shared" si="5"/>
        <v>513021********2508</v>
      </c>
      <c r="E132" s="17" t="s">
        <v>19</v>
      </c>
      <c r="F132" s="17">
        <f ca="1" t="shared" si="9"/>
        <v>77</v>
      </c>
      <c r="G132" s="17"/>
      <c r="H132" s="20"/>
      <c r="I132" s="13" t="s">
        <v>21</v>
      </c>
      <c r="J132" s="25" t="s">
        <v>148</v>
      </c>
      <c r="K132" s="25"/>
      <c r="L132" s="17"/>
      <c r="M132" s="17"/>
      <c r="N132" s="17" t="s">
        <v>34</v>
      </c>
      <c r="O132" s="17"/>
      <c r="P132" s="17"/>
    </row>
    <row r="133" spans="1:16">
      <c r="A133" s="10">
        <v>130</v>
      </c>
      <c r="B133" s="25" t="s">
        <v>296</v>
      </c>
      <c r="C133" s="25" t="s">
        <v>297</v>
      </c>
      <c r="D133" s="13" t="str">
        <f t="shared" ref="D133:D196" si="10">REPLACE(C133,7,8,"********")</f>
        <v>513021********2556</v>
      </c>
      <c r="E133" s="17" t="s">
        <v>31</v>
      </c>
      <c r="F133" s="17">
        <f ca="1" t="shared" si="9"/>
        <v>79</v>
      </c>
      <c r="G133" s="17" t="s">
        <v>20</v>
      </c>
      <c r="H133" s="18">
        <v>240</v>
      </c>
      <c r="I133" s="13" t="s">
        <v>21</v>
      </c>
      <c r="J133" s="25" t="s">
        <v>148</v>
      </c>
      <c r="K133" s="25"/>
      <c r="L133" s="17"/>
      <c r="M133" s="17"/>
      <c r="N133" s="17" t="s">
        <v>34</v>
      </c>
      <c r="O133" s="17"/>
      <c r="P133" s="17">
        <v>1</v>
      </c>
    </row>
    <row r="134" spans="1:16">
      <c r="A134" s="10">
        <v>131</v>
      </c>
      <c r="B134" s="25" t="s">
        <v>298</v>
      </c>
      <c r="C134" s="25" t="s">
        <v>299</v>
      </c>
      <c r="D134" s="13" t="str">
        <f t="shared" si="10"/>
        <v>513021********0860</v>
      </c>
      <c r="E134" s="17" t="s">
        <v>19</v>
      </c>
      <c r="F134" s="17">
        <f ca="1" t="shared" si="9"/>
        <v>88</v>
      </c>
      <c r="G134" s="17" t="s">
        <v>20</v>
      </c>
      <c r="H134" s="18">
        <v>240</v>
      </c>
      <c r="I134" s="13" t="s">
        <v>21</v>
      </c>
      <c r="J134" s="25" t="s">
        <v>148</v>
      </c>
      <c r="K134" s="25"/>
      <c r="L134" s="17"/>
      <c r="M134" s="17"/>
      <c r="N134" s="17"/>
      <c r="O134" s="17"/>
      <c r="P134" s="17">
        <v>1</v>
      </c>
    </row>
    <row r="135" spans="1:16">
      <c r="A135" s="10">
        <v>132</v>
      </c>
      <c r="B135" s="25" t="s">
        <v>300</v>
      </c>
      <c r="C135" s="25" t="s">
        <v>301</v>
      </c>
      <c r="D135" s="13" t="str">
        <f t="shared" si="10"/>
        <v>513021********2552</v>
      </c>
      <c r="E135" s="17" t="s">
        <v>31</v>
      </c>
      <c r="F135" s="17">
        <f ca="1" t="shared" si="9"/>
        <v>70</v>
      </c>
      <c r="G135" s="17" t="s">
        <v>20</v>
      </c>
      <c r="H135" s="18">
        <v>220</v>
      </c>
      <c r="I135" s="13" t="s">
        <v>21</v>
      </c>
      <c r="J135" s="25" t="s">
        <v>148</v>
      </c>
      <c r="K135" s="25"/>
      <c r="L135" s="17"/>
      <c r="M135" s="17"/>
      <c r="N135" s="17" t="s">
        <v>34</v>
      </c>
      <c r="O135" s="17"/>
      <c r="P135" s="17">
        <v>2</v>
      </c>
    </row>
    <row r="136" spans="1:16">
      <c r="A136" s="10">
        <v>133</v>
      </c>
      <c r="B136" s="25" t="s">
        <v>302</v>
      </c>
      <c r="C136" s="25" t="s">
        <v>303</v>
      </c>
      <c r="D136" s="13" t="str">
        <f t="shared" si="10"/>
        <v>513030********6511</v>
      </c>
      <c r="E136" s="17" t="s">
        <v>31</v>
      </c>
      <c r="F136" s="17">
        <f ca="1" t="shared" si="9"/>
        <v>31</v>
      </c>
      <c r="G136" s="17"/>
      <c r="H136" s="20"/>
      <c r="I136" s="13" t="s">
        <v>21</v>
      </c>
      <c r="J136" s="25" t="s">
        <v>148</v>
      </c>
      <c r="K136" s="25"/>
      <c r="L136" s="17"/>
      <c r="M136" s="17"/>
      <c r="N136" s="17"/>
      <c r="O136" s="17"/>
      <c r="P136" s="17"/>
    </row>
    <row r="137" spans="1:16">
      <c r="A137" s="10">
        <v>134</v>
      </c>
      <c r="B137" s="25" t="s">
        <v>304</v>
      </c>
      <c r="C137" s="25" t="s">
        <v>305</v>
      </c>
      <c r="D137" s="13" t="str">
        <f t="shared" si="10"/>
        <v>513021********2553</v>
      </c>
      <c r="E137" s="17" t="s">
        <v>31</v>
      </c>
      <c r="F137" s="17">
        <f ca="1" t="shared" si="9"/>
        <v>42</v>
      </c>
      <c r="G137" s="17" t="s">
        <v>20</v>
      </c>
      <c r="H137" s="18">
        <v>220</v>
      </c>
      <c r="I137" s="13" t="s">
        <v>21</v>
      </c>
      <c r="J137" s="25" t="s">
        <v>148</v>
      </c>
      <c r="K137" s="25"/>
      <c r="L137" s="17" t="str">
        <f>VLOOKUP(C137,[2]Sheet1!$B$85:$U$273,20,0)</f>
        <v>智力四级;</v>
      </c>
      <c r="M137" s="17"/>
      <c r="N137" s="17" t="s">
        <v>34</v>
      </c>
      <c r="O137" s="17"/>
      <c r="P137" s="17">
        <v>3</v>
      </c>
    </row>
    <row r="138" spans="1:16">
      <c r="A138" s="10">
        <v>135</v>
      </c>
      <c r="B138" s="25" t="s">
        <v>306</v>
      </c>
      <c r="C138" s="25" t="s">
        <v>307</v>
      </c>
      <c r="D138" s="13" t="str">
        <f t="shared" si="10"/>
        <v>511721********5142</v>
      </c>
      <c r="E138" s="17" t="s">
        <v>19</v>
      </c>
      <c r="F138" s="17">
        <f ca="1" t="shared" si="9"/>
        <v>15</v>
      </c>
      <c r="G138" s="17" t="s">
        <v>251</v>
      </c>
      <c r="H138" s="20"/>
      <c r="I138" s="13" t="s">
        <v>21</v>
      </c>
      <c r="J138" s="25" t="s">
        <v>148</v>
      </c>
      <c r="K138" s="25"/>
      <c r="L138" s="17"/>
      <c r="M138" s="17"/>
      <c r="N138" s="17" t="s">
        <v>34</v>
      </c>
      <c r="O138" s="17"/>
      <c r="P138" s="17"/>
    </row>
    <row r="139" spans="1:16">
      <c r="A139" s="10">
        <v>136</v>
      </c>
      <c r="B139" s="17" t="s">
        <v>308</v>
      </c>
      <c r="C139" s="17" t="s">
        <v>309</v>
      </c>
      <c r="D139" s="13" t="str">
        <f t="shared" si="10"/>
        <v>513021********2508</v>
      </c>
      <c r="E139" s="17" t="s">
        <v>19</v>
      </c>
      <c r="F139" s="17">
        <f ca="1" t="shared" si="9"/>
        <v>60</v>
      </c>
      <c r="G139" s="17"/>
      <c r="H139" s="20"/>
      <c r="I139" s="13" t="s">
        <v>21</v>
      </c>
      <c r="J139" s="25" t="s">
        <v>148</v>
      </c>
      <c r="K139" s="25"/>
      <c r="L139" s="17"/>
      <c r="M139" s="17"/>
      <c r="N139" s="17" t="s">
        <v>34</v>
      </c>
      <c r="O139" s="17"/>
      <c r="P139" s="17"/>
    </row>
    <row r="140" spans="1:16">
      <c r="A140" s="10">
        <v>137</v>
      </c>
      <c r="B140" s="25" t="s">
        <v>310</v>
      </c>
      <c r="C140" s="25" t="s">
        <v>311</v>
      </c>
      <c r="D140" s="13" t="str">
        <f t="shared" si="10"/>
        <v>513021********2551</v>
      </c>
      <c r="E140" s="17" t="s">
        <v>31</v>
      </c>
      <c r="F140" s="17">
        <f ca="1" t="shared" si="9"/>
        <v>71</v>
      </c>
      <c r="G140" s="17" t="s">
        <v>20</v>
      </c>
      <c r="H140" s="18">
        <v>220</v>
      </c>
      <c r="I140" s="13" t="s">
        <v>21</v>
      </c>
      <c r="J140" s="25" t="s">
        <v>148</v>
      </c>
      <c r="K140" s="25"/>
      <c r="L140" s="17"/>
      <c r="M140" s="17"/>
      <c r="N140" s="17" t="s">
        <v>34</v>
      </c>
      <c r="O140" s="17"/>
      <c r="P140" s="17">
        <v>2</v>
      </c>
    </row>
    <row r="141" spans="1:16">
      <c r="A141" s="10">
        <v>138</v>
      </c>
      <c r="B141" s="25" t="s">
        <v>312</v>
      </c>
      <c r="C141" s="25" t="s">
        <v>313</v>
      </c>
      <c r="D141" s="13" t="str">
        <f t="shared" si="10"/>
        <v>511721********0151</v>
      </c>
      <c r="E141" s="17" t="s">
        <v>31</v>
      </c>
      <c r="F141" s="17">
        <f ca="1" t="shared" si="9"/>
        <v>8</v>
      </c>
      <c r="G141" s="17"/>
      <c r="H141" s="20"/>
      <c r="I141" s="13" t="s">
        <v>21</v>
      </c>
      <c r="J141" s="25" t="s">
        <v>148</v>
      </c>
      <c r="K141" s="25"/>
      <c r="L141" s="17"/>
      <c r="M141" s="17"/>
      <c r="N141" s="17" t="s">
        <v>34</v>
      </c>
      <c r="O141" s="17"/>
      <c r="P141" s="17"/>
    </row>
    <row r="142" spans="1:16">
      <c r="A142" s="10">
        <v>139</v>
      </c>
      <c r="B142" s="25" t="s">
        <v>314</v>
      </c>
      <c r="C142" s="25" t="s">
        <v>315</v>
      </c>
      <c r="D142" s="13" t="str">
        <f t="shared" si="10"/>
        <v>513021********2507</v>
      </c>
      <c r="E142" s="17" t="s">
        <v>19</v>
      </c>
      <c r="F142" s="17">
        <f ca="1" t="shared" si="9"/>
        <v>73</v>
      </c>
      <c r="G142" s="17" t="s">
        <v>20</v>
      </c>
      <c r="H142" s="18">
        <v>240</v>
      </c>
      <c r="I142" s="13" t="s">
        <v>21</v>
      </c>
      <c r="J142" s="25" t="s">
        <v>148</v>
      </c>
      <c r="K142" s="25"/>
      <c r="L142" s="17"/>
      <c r="M142" s="17"/>
      <c r="N142" s="17" t="s">
        <v>34</v>
      </c>
      <c r="O142" s="17"/>
      <c r="P142" s="17">
        <v>1</v>
      </c>
    </row>
    <row r="143" spans="1:16">
      <c r="A143" s="10">
        <v>140</v>
      </c>
      <c r="B143" s="25" t="s">
        <v>316</v>
      </c>
      <c r="C143" s="25" t="s">
        <v>317</v>
      </c>
      <c r="D143" s="13" t="str">
        <f t="shared" si="10"/>
        <v>513021********2550</v>
      </c>
      <c r="E143" s="17" t="s">
        <v>31</v>
      </c>
      <c r="F143" s="17">
        <f ca="1" t="shared" ref="F143:F173" si="11">YEAR(TODAY())-MID(C143,7,4)</f>
        <v>50</v>
      </c>
      <c r="G143" s="17" t="s">
        <v>20</v>
      </c>
      <c r="H143" s="18">
        <v>240</v>
      </c>
      <c r="I143" s="13" t="s">
        <v>21</v>
      </c>
      <c r="J143" s="25" t="s">
        <v>148</v>
      </c>
      <c r="K143" s="25"/>
      <c r="L143" s="17"/>
      <c r="M143" s="17"/>
      <c r="N143" s="17"/>
      <c r="O143" s="17"/>
      <c r="P143" s="17">
        <v>1</v>
      </c>
    </row>
    <row r="144" spans="1:16">
      <c r="A144" s="10">
        <v>141</v>
      </c>
      <c r="B144" s="25" t="s">
        <v>318</v>
      </c>
      <c r="C144" s="25" t="s">
        <v>319</v>
      </c>
      <c r="D144" s="13" t="str">
        <f t="shared" si="10"/>
        <v>513021********2520</v>
      </c>
      <c r="E144" s="17" t="s">
        <v>19</v>
      </c>
      <c r="F144" s="17">
        <f ca="1" t="shared" si="11"/>
        <v>61</v>
      </c>
      <c r="G144" s="17" t="s">
        <v>20</v>
      </c>
      <c r="H144" s="18">
        <v>240</v>
      </c>
      <c r="I144" s="13" t="s">
        <v>21</v>
      </c>
      <c r="J144" s="25" t="s">
        <v>148</v>
      </c>
      <c r="K144" s="25"/>
      <c r="L144" s="17"/>
      <c r="M144" s="17"/>
      <c r="N144" s="17"/>
      <c r="O144" s="17"/>
      <c r="P144" s="17">
        <v>1</v>
      </c>
    </row>
    <row r="145" spans="1:16">
      <c r="A145" s="10">
        <v>142</v>
      </c>
      <c r="B145" s="25" t="s">
        <v>320</v>
      </c>
      <c r="C145" s="25" t="s">
        <v>321</v>
      </c>
      <c r="D145" s="13" t="str">
        <f t="shared" si="10"/>
        <v>513021********2505</v>
      </c>
      <c r="E145" s="17" t="s">
        <v>19</v>
      </c>
      <c r="F145" s="17">
        <f ca="1" t="shared" si="11"/>
        <v>63</v>
      </c>
      <c r="G145" s="17" t="s">
        <v>20</v>
      </c>
      <c r="H145" s="18">
        <v>240</v>
      </c>
      <c r="I145" s="13" t="s">
        <v>21</v>
      </c>
      <c r="J145" s="25" t="s">
        <v>148</v>
      </c>
      <c r="K145" s="25"/>
      <c r="L145" s="17" t="str">
        <f>VLOOKUP(C145,[2]Sheet1!$B$85:$U$273,20,0)</f>
        <v>肢体四级;</v>
      </c>
      <c r="M145" s="17"/>
      <c r="N145" s="17"/>
      <c r="O145" s="17"/>
      <c r="P145" s="17">
        <v>1</v>
      </c>
    </row>
    <row r="146" spans="1:16">
      <c r="A146" s="10">
        <v>143</v>
      </c>
      <c r="B146" s="25" t="s">
        <v>322</v>
      </c>
      <c r="C146" s="25" t="s">
        <v>323</v>
      </c>
      <c r="D146" s="13" t="str">
        <f t="shared" si="10"/>
        <v>513029********1246</v>
      </c>
      <c r="E146" s="17" t="s">
        <v>19</v>
      </c>
      <c r="F146" s="17">
        <f ca="1" t="shared" si="11"/>
        <v>76</v>
      </c>
      <c r="G146" s="17" t="s">
        <v>20</v>
      </c>
      <c r="H146" s="18">
        <v>220</v>
      </c>
      <c r="I146" s="13" t="s">
        <v>21</v>
      </c>
      <c r="J146" s="25" t="s">
        <v>148</v>
      </c>
      <c r="K146" s="25"/>
      <c r="L146" s="17" t="str">
        <f>VLOOKUP(C146,[2]Sheet1!$B$85:$U$273,20,0)</f>
        <v>智力三级;</v>
      </c>
      <c r="M146" s="17"/>
      <c r="N146" s="17" t="s">
        <v>34</v>
      </c>
      <c r="O146" s="17"/>
      <c r="P146" s="17">
        <v>3</v>
      </c>
    </row>
    <row r="147" spans="1:16">
      <c r="A147" s="10">
        <v>144</v>
      </c>
      <c r="B147" s="25" t="s">
        <v>324</v>
      </c>
      <c r="C147" s="25" t="s">
        <v>325</v>
      </c>
      <c r="D147" s="13" t="str">
        <f t="shared" si="10"/>
        <v>513021********2551</v>
      </c>
      <c r="E147" s="17" t="s">
        <v>31</v>
      </c>
      <c r="F147" s="17">
        <f ca="1" t="shared" si="11"/>
        <v>67</v>
      </c>
      <c r="G147" s="17" t="s">
        <v>37</v>
      </c>
      <c r="H147" s="20"/>
      <c r="I147" s="13" t="s">
        <v>21</v>
      </c>
      <c r="J147" s="25" t="s">
        <v>148</v>
      </c>
      <c r="K147" s="25"/>
      <c r="L147" s="17"/>
      <c r="M147" s="17"/>
      <c r="N147" s="17" t="s">
        <v>34</v>
      </c>
      <c r="O147" s="17"/>
      <c r="P147" s="17"/>
    </row>
    <row r="148" spans="1:16">
      <c r="A148" s="10">
        <v>145</v>
      </c>
      <c r="B148" s="17" t="s">
        <v>326</v>
      </c>
      <c r="C148" s="17" t="s">
        <v>327</v>
      </c>
      <c r="D148" s="13" t="str">
        <f t="shared" si="10"/>
        <v>511721********5152</v>
      </c>
      <c r="E148" s="17" t="s">
        <v>31</v>
      </c>
      <c r="F148" s="17">
        <f ca="1" t="shared" si="11"/>
        <v>20</v>
      </c>
      <c r="G148" s="17"/>
      <c r="H148" s="20"/>
      <c r="I148" s="13" t="s">
        <v>21</v>
      </c>
      <c r="J148" s="25" t="s">
        <v>148</v>
      </c>
      <c r="K148" s="25"/>
      <c r="L148" s="17"/>
      <c r="M148" s="17"/>
      <c r="N148" s="17" t="s">
        <v>34</v>
      </c>
      <c r="O148" s="17"/>
      <c r="P148" s="17"/>
    </row>
    <row r="149" spans="1:16">
      <c r="A149" s="10">
        <v>146</v>
      </c>
      <c r="B149" s="25" t="s">
        <v>328</v>
      </c>
      <c r="C149" s="25" t="s">
        <v>329</v>
      </c>
      <c r="D149" s="13" t="str">
        <f t="shared" si="10"/>
        <v>513021********2502</v>
      </c>
      <c r="E149" s="17" t="s">
        <v>19</v>
      </c>
      <c r="F149" s="17">
        <f ca="1" t="shared" si="11"/>
        <v>65</v>
      </c>
      <c r="G149" s="17" t="s">
        <v>20</v>
      </c>
      <c r="H149" s="18">
        <v>240</v>
      </c>
      <c r="I149" s="13" t="s">
        <v>21</v>
      </c>
      <c r="J149" s="25" t="s">
        <v>148</v>
      </c>
      <c r="K149" s="25"/>
      <c r="L149" s="17"/>
      <c r="M149" s="17"/>
      <c r="N149" s="17"/>
      <c r="O149" s="17"/>
      <c r="P149" s="17">
        <v>1</v>
      </c>
    </row>
    <row r="150" spans="1:16">
      <c r="A150" s="10">
        <v>147</v>
      </c>
      <c r="B150" s="25" t="s">
        <v>330</v>
      </c>
      <c r="C150" s="25" t="s">
        <v>331</v>
      </c>
      <c r="D150" s="13" t="str">
        <f t="shared" si="10"/>
        <v>513021********2584</v>
      </c>
      <c r="E150" s="17" t="s">
        <v>19</v>
      </c>
      <c r="F150" s="17">
        <f ca="1" t="shared" si="11"/>
        <v>73</v>
      </c>
      <c r="G150" s="17" t="s">
        <v>20</v>
      </c>
      <c r="H150" s="18">
        <v>220</v>
      </c>
      <c r="I150" s="13" t="s">
        <v>21</v>
      </c>
      <c r="J150" s="25" t="s">
        <v>148</v>
      </c>
      <c r="K150" s="25"/>
      <c r="L150" s="17"/>
      <c r="M150" s="17"/>
      <c r="N150" s="17" t="s">
        <v>34</v>
      </c>
      <c r="O150" s="17"/>
      <c r="P150" s="17">
        <v>2</v>
      </c>
    </row>
    <row r="151" spans="1:16">
      <c r="A151" s="10">
        <v>148</v>
      </c>
      <c r="B151" s="25" t="s">
        <v>332</v>
      </c>
      <c r="C151" s="25" t="s">
        <v>333</v>
      </c>
      <c r="D151" s="13" t="str">
        <f t="shared" si="10"/>
        <v>513021********2552</v>
      </c>
      <c r="E151" s="17" t="s">
        <v>31</v>
      </c>
      <c r="F151" s="17">
        <f ca="1" t="shared" si="11"/>
        <v>46</v>
      </c>
      <c r="G151" s="17" t="s">
        <v>145</v>
      </c>
      <c r="H151" s="20"/>
      <c r="I151" s="13" t="s">
        <v>21</v>
      </c>
      <c r="J151" s="25" t="s">
        <v>148</v>
      </c>
      <c r="K151" s="25"/>
      <c r="L151" s="17"/>
      <c r="M151" s="17"/>
      <c r="N151" s="17" t="s">
        <v>34</v>
      </c>
      <c r="O151" s="17"/>
      <c r="P151" s="17"/>
    </row>
    <row r="152" spans="1:16">
      <c r="A152" s="10">
        <v>149</v>
      </c>
      <c r="B152" s="25" t="s">
        <v>334</v>
      </c>
      <c r="C152" s="25" t="s">
        <v>335</v>
      </c>
      <c r="D152" s="13" t="str">
        <f t="shared" si="10"/>
        <v>513021********0896</v>
      </c>
      <c r="E152" s="17" t="s">
        <v>31</v>
      </c>
      <c r="F152" s="17">
        <f ca="1" t="shared" si="11"/>
        <v>72</v>
      </c>
      <c r="G152" s="17" t="s">
        <v>20</v>
      </c>
      <c r="H152" s="18">
        <v>660</v>
      </c>
      <c r="I152" s="13" t="s">
        <v>21</v>
      </c>
      <c r="J152" s="25" t="s">
        <v>148</v>
      </c>
      <c r="K152" s="25"/>
      <c r="L152" s="17"/>
      <c r="M152" s="17"/>
      <c r="N152" s="17" t="s">
        <v>34</v>
      </c>
      <c r="O152" s="17"/>
      <c r="P152" s="17">
        <v>3</v>
      </c>
    </row>
    <row r="153" spans="1:16">
      <c r="A153" s="10">
        <v>150</v>
      </c>
      <c r="B153" s="25" t="s">
        <v>336</v>
      </c>
      <c r="C153" s="25" t="s">
        <v>337</v>
      </c>
      <c r="D153" s="13" t="str">
        <f t="shared" si="10"/>
        <v>513021********0884</v>
      </c>
      <c r="E153" s="17" t="s">
        <v>19</v>
      </c>
      <c r="F153" s="17">
        <f ca="1" t="shared" si="11"/>
        <v>69</v>
      </c>
      <c r="G153" s="17" t="s">
        <v>37</v>
      </c>
      <c r="H153" s="20"/>
      <c r="I153" s="13" t="s">
        <v>21</v>
      </c>
      <c r="J153" s="25" t="s">
        <v>148</v>
      </c>
      <c r="K153" s="25"/>
      <c r="L153" s="17" t="str">
        <f>VLOOKUP(C153,[2]Sheet1!$B$85:$U$273,20,0)</f>
        <v>肢体三级;</v>
      </c>
      <c r="M153" s="17"/>
      <c r="N153" s="17" t="s">
        <v>34</v>
      </c>
      <c r="O153" s="17"/>
      <c r="P153" s="17"/>
    </row>
    <row r="154" spans="1:16">
      <c r="A154" s="10">
        <v>151</v>
      </c>
      <c r="B154" s="17" t="s">
        <v>338</v>
      </c>
      <c r="C154" s="23" t="s">
        <v>339</v>
      </c>
      <c r="D154" s="13" t="str">
        <f t="shared" si="10"/>
        <v>513021********0872</v>
      </c>
      <c r="E154" s="23" t="s">
        <v>31</v>
      </c>
      <c r="F154" s="17">
        <f ca="1" t="shared" si="11"/>
        <v>43</v>
      </c>
      <c r="G154" s="17"/>
      <c r="H154" s="20"/>
      <c r="I154" s="13" t="s">
        <v>21</v>
      </c>
      <c r="J154" s="25" t="s">
        <v>148</v>
      </c>
      <c r="K154" s="25"/>
      <c r="L154" s="17"/>
      <c r="M154" s="17"/>
      <c r="N154" s="17" t="s">
        <v>34</v>
      </c>
      <c r="O154" s="17"/>
      <c r="P154" s="17"/>
    </row>
    <row r="155" spans="1:16">
      <c r="A155" s="10">
        <v>152</v>
      </c>
      <c r="B155" s="25" t="s">
        <v>340</v>
      </c>
      <c r="C155" s="25" t="s">
        <v>341</v>
      </c>
      <c r="D155" s="13" t="str">
        <f t="shared" si="10"/>
        <v>513021********2552</v>
      </c>
      <c r="E155" s="17" t="s">
        <v>31</v>
      </c>
      <c r="F155" s="17">
        <f ca="1" t="shared" si="11"/>
        <v>80</v>
      </c>
      <c r="G155" s="17" t="s">
        <v>20</v>
      </c>
      <c r="H155" s="18">
        <v>240</v>
      </c>
      <c r="I155" s="13" t="s">
        <v>21</v>
      </c>
      <c r="J155" s="25" t="s">
        <v>148</v>
      </c>
      <c r="K155" s="25"/>
      <c r="L155" s="17" t="str">
        <f>VLOOKUP(C155,[2]Sheet1!$B$85:$U$273,20,0)</f>
        <v>肢体四级;</v>
      </c>
      <c r="M155" s="17"/>
      <c r="N155" s="17"/>
      <c r="O155" s="17"/>
      <c r="P155" s="17">
        <v>1</v>
      </c>
    </row>
    <row r="156" spans="1:16">
      <c r="A156" s="10">
        <v>153</v>
      </c>
      <c r="B156" s="25" t="s">
        <v>342</v>
      </c>
      <c r="C156" s="25" t="s">
        <v>343</v>
      </c>
      <c r="D156" s="13" t="str">
        <f t="shared" si="10"/>
        <v>513021********2578</v>
      </c>
      <c r="E156" s="17" t="s">
        <v>31</v>
      </c>
      <c r="F156" s="17">
        <f ca="1" t="shared" si="11"/>
        <v>52</v>
      </c>
      <c r="G156" s="17" t="s">
        <v>20</v>
      </c>
      <c r="H156" s="18">
        <v>220</v>
      </c>
      <c r="I156" s="13" t="s">
        <v>21</v>
      </c>
      <c r="J156" s="25" t="s">
        <v>148</v>
      </c>
      <c r="K156" s="25"/>
      <c r="L156" s="17"/>
      <c r="M156" s="17"/>
      <c r="N156" s="17" t="s">
        <v>34</v>
      </c>
      <c r="O156" s="17"/>
      <c r="P156" s="17">
        <v>4</v>
      </c>
    </row>
    <row r="157" spans="1:16">
      <c r="A157" s="10">
        <v>154</v>
      </c>
      <c r="B157" s="25" t="s">
        <v>344</v>
      </c>
      <c r="C157" s="25" t="s">
        <v>345</v>
      </c>
      <c r="D157" s="13" t="str">
        <f t="shared" si="10"/>
        <v>513021********2559</v>
      </c>
      <c r="E157" s="17" t="s">
        <v>31</v>
      </c>
      <c r="F157" s="17">
        <f ca="1" t="shared" si="11"/>
        <v>81</v>
      </c>
      <c r="G157" s="17" t="s">
        <v>346</v>
      </c>
      <c r="H157" s="20"/>
      <c r="I157" s="13" t="s">
        <v>21</v>
      </c>
      <c r="J157" s="25" t="s">
        <v>148</v>
      </c>
      <c r="K157" s="25"/>
      <c r="L157" s="17"/>
      <c r="M157" s="17"/>
      <c r="N157" s="17" t="s">
        <v>34</v>
      </c>
      <c r="O157" s="17"/>
      <c r="P157" s="17"/>
    </row>
    <row r="158" spans="1:16">
      <c r="A158" s="10">
        <v>155</v>
      </c>
      <c r="B158" s="23" t="s">
        <v>347</v>
      </c>
      <c r="C158" s="23" t="s">
        <v>348</v>
      </c>
      <c r="D158" s="13" t="str">
        <f t="shared" si="10"/>
        <v>511721********5130</v>
      </c>
      <c r="E158" s="23" t="s">
        <v>31</v>
      </c>
      <c r="F158" s="17">
        <f ca="1" t="shared" si="11"/>
        <v>14</v>
      </c>
      <c r="G158" s="17"/>
      <c r="H158" s="20"/>
      <c r="I158" s="13" t="s">
        <v>21</v>
      </c>
      <c r="J158" s="25" t="s">
        <v>148</v>
      </c>
      <c r="K158" s="25"/>
      <c r="L158" s="17"/>
      <c r="M158" s="17"/>
      <c r="N158" s="17" t="s">
        <v>34</v>
      </c>
      <c r="O158" s="17"/>
      <c r="P158" s="17"/>
    </row>
    <row r="159" spans="1:16">
      <c r="A159" s="10">
        <v>156</v>
      </c>
      <c r="B159" s="23" t="s">
        <v>349</v>
      </c>
      <c r="C159" s="23" t="s">
        <v>350</v>
      </c>
      <c r="D159" s="13" t="str">
        <f t="shared" si="10"/>
        <v>513021********1407</v>
      </c>
      <c r="E159" s="17" t="s">
        <v>19</v>
      </c>
      <c r="F159" s="17">
        <f ca="1" t="shared" si="11"/>
        <v>52</v>
      </c>
      <c r="G159" s="17"/>
      <c r="H159" s="20"/>
      <c r="I159" s="13" t="s">
        <v>21</v>
      </c>
      <c r="J159" s="25" t="s">
        <v>148</v>
      </c>
      <c r="K159" s="25"/>
      <c r="L159" s="17"/>
      <c r="M159" s="17"/>
      <c r="N159" s="17" t="s">
        <v>34</v>
      </c>
      <c r="O159" s="17"/>
      <c r="P159" s="17"/>
    </row>
    <row r="160" spans="1:16">
      <c r="A160" s="10">
        <v>157</v>
      </c>
      <c r="B160" s="25" t="s">
        <v>351</v>
      </c>
      <c r="C160" s="25" t="s">
        <v>352</v>
      </c>
      <c r="D160" s="13" t="str">
        <f t="shared" si="10"/>
        <v>513021********2508</v>
      </c>
      <c r="E160" s="17" t="s">
        <v>19</v>
      </c>
      <c r="F160" s="17">
        <f ca="1" t="shared" si="11"/>
        <v>38</v>
      </c>
      <c r="G160" s="17" t="s">
        <v>20</v>
      </c>
      <c r="H160" s="18">
        <v>240</v>
      </c>
      <c r="I160" s="13" t="s">
        <v>21</v>
      </c>
      <c r="J160" s="25" t="s">
        <v>148</v>
      </c>
      <c r="K160" s="25"/>
      <c r="L160" s="17"/>
      <c r="M160" s="17"/>
      <c r="N160" s="17"/>
      <c r="O160" s="17"/>
      <c r="P160" s="17">
        <v>1</v>
      </c>
    </row>
    <row r="161" spans="1:16">
      <c r="A161" s="10">
        <v>158</v>
      </c>
      <c r="B161" s="25" t="s">
        <v>353</v>
      </c>
      <c r="C161" s="25" t="s">
        <v>354</v>
      </c>
      <c r="D161" s="13" t="str">
        <f t="shared" si="10"/>
        <v>513021********2552</v>
      </c>
      <c r="E161" s="17" t="s">
        <v>31</v>
      </c>
      <c r="F161" s="17">
        <f ca="1" t="shared" si="11"/>
        <v>55</v>
      </c>
      <c r="G161" s="17" t="s">
        <v>20</v>
      </c>
      <c r="H161" s="18">
        <v>220</v>
      </c>
      <c r="I161" s="13" t="s">
        <v>21</v>
      </c>
      <c r="J161" s="25" t="s">
        <v>148</v>
      </c>
      <c r="K161" s="25"/>
      <c r="L161" s="17" t="str">
        <f>VLOOKUP(C161,[2]Sheet1!$B$85:$U$273,20,0)</f>
        <v>肢体四级;</v>
      </c>
      <c r="M161" s="17"/>
      <c r="N161" s="17" t="s">
        <v>34</v>
      </c>
      <c r="O161" s="17"/>
      <c r="P161" s="17">
        <v>3</v>
      </c>
    </row>
    <row r="162" spans="1:16">
      <c r="A162" s="10">
        <v>159</v>
      </c>
      <c r="B162" s="23" t="s">
        <v>355</v>
      </c>
      <c r="C162" s="23" t="s">
        <v>356</v>
      </c>
      <c r="D162" s="13" t="str">
        <f t="shared" si="10"/>
        <v>513021********2507</v>
      </c>
      <c r="E162" s="17" t="s">
        <v>19</v>
      </c>
      <c r="F162" s="17">
        <f ca="1" t="shared" si="11"/>
        <v>87</v>
      </c>
      <c r="G162" s="17"/>
      <c r="H162" s="20"/>
      <c r="I162" s="13" t="s">
        <v>21</v>
      </c>
      <c r="J162" s="25" t="s">
        <v>148</v>
      </c>
      <c r="K162" s="25"/>
      <c r="L162" s="17"/>
      <c r="M162" s="17"/>
      <c r="N162" s="17" t="s">
        <v>34</v>
      </c>
      <c r="O162" s="17"/>
      <c r="P162" s="17"/>
    </row>
    <row r="163" spans="1:16">
      <c r="A163" s="10">
        <v>160</v>
      </c>
      <c r="B163" s="23" t="s">
        <v>357</v>
      </c>
      <c r="C163" s="23" t="s">
        <v>358</v>
      </c>
      <c r="D163" s="13" t="str">
        <f t="shared" si="10"/>
        <v>513021********2528</v>
      </c>
      <c r="E163" s="17" t="s">
        <v>19</v>
      </c>
      <c r="F163" s="17">
        <f ca="1" t="shared" si="11"/>
        <v>31</v>
      </c>
      <c r="G163" s="17"/>
      <c r="H163" s="20"/>
      <c r="I163" s="13" t="s">
        <v>21</v>
      </c>
      <c r="J163" s="25" t="s">
        <v>148</v>
      </c>
      <c r="K163" s="25"/>
      <c r="L163" s="17"/>
      <c r="M163" s="17"/>
      <c r="N163" s="17" t="s">
        <v>34</v>
      </c>
      <c r="O163" s="17"/>
      <c r="P163" s="17"/>
    </row>
    <row r="164" spans="1:16">
      <c r="A164" s="10">
        <v>161</v>
      </c>
      <c r="B164" s="25" t="s">
        <v>359</v>
      </c>
      <c r="C164" s="25" t="s">
        <v>360</v>
      </c>
      <c r="D164" s="13" t="str">
        <f t="shared" si="10"/>
        <v>513021********0876</v>
      </c>
      <c r="E164" s="17" t="s">
        <v>31</v>
      </c>
      <c r="F164" s="17">
        <f ca="1" t="shared" si="11"/>
        <v>53</v>
      </c>
      <c r="G164" s="17" t="s">
        <v>20</v>
      </c>
      <c r="H164" s="18">
        <v>440</v>
      </c>
      <c r="I164" s="13" t="s">
        <v>21</v>
      </c>
      <c r="J164" s="25" t="s">
        <v>148</v>
      </c>
      <c r="K164" s="25"/>
      <c r="L164" s="17"/>
      <c r="M164" s="17"/>
      <c r="N164" s="17"/>
      <c r="O164" s="17"/>
      <c r="P164" s="17">
        <v>3</v>
      </c>
    </row>
    <row r="165" spans="1:16">
      <c r="A165" s="10">
        <v>162</v>
      </c>
      <c r="B165" s="25" t="s">
        <v>361</v>
      </c>
      <c r="C165" s="25" t="s">
        <v>362</v>
      </c>
      <c r="D165" s="13" t="str">
        <f t="shared" si="10"/>
        <v>511721********4718</v>
      </c>
      <c r="E165" s="17" t="s">
        <v>31</v>
      </c>
      <c r="F165" s="17">
        <f ca="1" t="shared" si="11"/>
        <v>19</v>
      </c>
      <c r="G165" s="17" t="s">
        <v>145</v>
      </c>
      <c r="H165" s="20"/>
      <c r="I165" s="13" t="s">
        <v>21</v>
      </c>
      <c r="J165" s="25" t="s">
        <v>148</v>
      </c>
      <c r="K165" s="25"/>
      <c r="L165" s="17"/>
      <c r="M165" s="17"/>
      <c r="N165" s="17"/>
      <c r="O165" s="17"/>
      <c r="P165" s="17"/>
    </row>
    <row r="166" spans="1:16">
      <c r="A166" s="10">
        <v>163</v>
      </c>
      <c r="B166" s="17" t="s">
        <v>363</v>
      </c>
      <c r="C166" s="17" t="s">
        <v>364</v>
      </c>
      <c r="D166" s="13" t="str">
        <f t="shared" si="10"/>
        <v>511721********4674</v>
      </c>
      <c r="E166" s="17" t="s">
        <v>31</v>
      </c>
      <c r="F166" s="17">
        <f ca="1" t="shared" si="11"/>
        <v>18</v>
      </c>
      <c r="G166" s="17"/>
      <c r="H166" s="20"/>
      <c r="I166" s="13" t="s">
        <v>21</v>
      </c>
      <c r="J166" s="25" t="s">
        <v>148</v>
      </c>
      <c r="K166" s="25"/>
      <c r="L166" s="17"/>
      <c r="M166" s="17"/>
      <c r="N166" s="17"/>
      <c r="O166" s="17"/>
      <c r="P166" s="17"/>
    </row>
    <row r="167" spans="1:16">
      <c r="A167" s="10">
        <v>164</v>
      </c>
      <c r="B167" s="17" t="s">
        <v>365</v>
      </c>
      <c r="C167" s="42" t="s">
        <v>366</v>
      </c>
      <c r="D167" s="13" t="str">
        <f t="shared" si="10"/>
        <v>513021********0865</v>
      </c>
      <c r="E167" s="17" t="s">
        <v>19</v>
      </c>
      <c r="F167" s="17">
        <f ca="1" t="shared" si="11"/>
        <v>83</v>
      </c>
      <c r="G167" s="17" t="s">
        <v>20</v>
      </c>
      <c r="H167" s="18">
        <v>240</v>
      </c>
      <c r="I167" s="13" t="s">
        <v>21</v>
      </c>
      <c r="J167" s="25" t="s">
        <v>148</v>
      </c>
      <c r="K167" s="25"/>
      <c r="L167" s="17"/>
      <c r="M167" s="17"/>
      <c r="N167" s="17"/>
      <c r="O167" s="17" t="s">
        <v>367</v>
      </c>
      <c r="P167" s="17">
        <v>1</v>
      </c>
    </row>
    <row r="168" spans="1:16">
      <c r="A168" s="10">
        <v>165</v>
      </c>
      <c r="B168" s="25" t="s">
        <v>368</v>
      </c>
      <c r="C168" s="25" t="s">
        <v>369</v>
      </c>
      <c r="D168" s="13" t="str">
        <f t="shared" si="10"/>
        <v>513021********2599</v>
      </c>
      <c r="E168" s="17" t="s">
        <v>31</v>
      </c>
      <c r="F168" s="17">
        <f ca="1" t="shared" si="11"/>
        <v>81</v>
      </c>
      <c r="G168" s="17" t="s">
        <v>20</v>
      </c>
      <c r="H168" s="18">
        <v>240</v>
      </c>
      <c r="I168" s="13" t="s">
        <v>21</v>
      </c>
      <c r="J168" s="25" t="s">
        <v>148</v>
      </c>
      <c r="K168" s="25"/>
      <c r="L168" s="17" t="str">
        <f>VLOOKUP(C168,[2]Sheet1!$B$85:$U$273,20,0)</f>
        <v>肢体二级;</v>
      </c>
      <c r="M168" s="17"/>
      <c r="N168" s="17"/>
      <c r="O168" s="17"/>
      <c r="P168" s="17">
        <v>1</v>
      </c>
    </row>
    <row r="169" spans="1:16">
      <c r="A169" s="10">
        <v>166</v>
      </c>
      <c r="B169" s="25" t="s">
        <v>370</v>
      </c>
      <c r="C169" s="25" t="s">
        <v>371</v>
      </c>
      <c r="D169" s="13" t="str">
        <f t="shared" si="10"/>
        <v>513021********2500</v>
      </c>
      <c r="E169" s="17" t="s">
        <v>19</v>
      </c>
      <c r="F169" s="17">
        <f ca="1" t="shared" ref="F169:F190" si="12">YEAR(TODAY())-MID(C169,7,4)</f>
        <v>58</v>
      </c>
      <c r="G169" s="17" t="s">
        <v>20</v>
      </c>
      <c r="H169" s="18">
        <v>220</v>
      </c>
      <c r="I169" s="13" t="s">
        <v>21</v>
      </c>
      <c r="J169" s="25" t="s">
        <v>148</v>
      </c>
      <c r="K169" s="25"/>
      <c r="L169" s="17"/>
      <c r="M169" s="17"/>
      <c r="N169" s="17" t="s">
        <v>34</v>
      </c>
      <c r="O169" s="17"/>
      <c r="P169" s="17">
        <v>3</v>
      </c>
    </row>
    <row r="170" spans="1:16">
      <c r="A170" s="10">
        <v>167</v>
      </c>
      <c r="B170" s="25" t="s">
        <v>372</v>
      </c>
      <c r="C170" s="25" t="s">
        <v>373</v>
      </c>
      <c r="D170" s="13" t="str">
        <f t="shared" si="10"/>
        <v>513021********255X</v>
      </c>
      <c r="E170" s="17" t="s">
        <v>31</v>
      </c>
      <c r="F170" s="17">
        <f ca="1" t="shared" si="12"/>
        <v>61</v>
      </c>
      <c r="G170" s="17" t="s">
        <v>37</v>
      </c>
      <c r="H170" s="20"/>
      <c r="I170" s="13" t="s">
        <v>21</v>
      </c>
      <c r="J170" s="25" t="s">
        <v>148</v>
      </c>
      <c r="K170" s="25"/>
      <c r="L170" s="17"/>
      <c r="M170" s="17"/>
      <c r="N170" s="17" t="s">
        <v>34</v>
      </c>
      <c r="O170" s="17"/>
      <c r="P170" s="17"/>
    </row>
    <row r="171" spans="1:16">
      <c r="A171" s="10">
        <v>168</v>
      </c>
      <c r="B171" s="17" t="s">
        <v>374</v>
      </c>
      <c r="C171" s="17" t="s">
        <v>375</v>
      </c>
      <c r="D171" s="13" t="str">
        <f t="shared" si="10"/>
        <v>511721********5189</v>
      </c>
      <c r="E171" s="17" t="s">
        <v>19</v>
      </c>
      <c r="F171" s="17">
        <f ca="1" t="shared" si="12"/>
        <v>21</v>
      </c>
      <c r="G171" s="17"/>
      <c r="H171" s="20"/>
      <c r="I171" s="13" t="s">
        <v>21</v>
      </c>
      <c r="J171" s="25" t="s">
        <v>148</v>
      </c>
      <c r="K171" s="25"/>
      <c r="L171" s="17"/>
      <c r="M171" s="17"/>
      <c r="N171" s="17" t="s">
        <v>34</v>
      </c>
      <c r="O171" s="17"/>
      <c r="P171" s="17"/>
    </row>
    <row r="172" spans="1:16">
      <c r="A172" s="10">
        <v>169</v>
      </c>
      <c r="B172" s="25" t="s">
        <v>376</v>
      </c>
      <c r="C172" s="25" t="s">
        <v>377</v>
      </c>
      <c r="D172" s="13" t="str">
        <f t="shared" si="10"/>
        <v>513021********2559</v>
      </c>
      <c r="E172" s="17" t="s">
        <v>31</v>
      </c>
      <c r="F172" s="17">
        <f ca="1" t="shared" si="12"/>
        <v>62</v>
      </c>
      <c r="G172" s="17" t="s">
        <v>20</v>
      </c>
      <c r="H172" s="18">
        <v>440</v>
      </c>
      <c r="I172" s="13" t="s">
        <v>21</v>
      </c>
      <c r="J172" s="25" t="s">
        <v>148</v>
      </c>
      <c r="K172" s="25"/>
      <c r="L172" s="17"/>
      <c r="M172" s="17"/>
      <c r="N172" s="17" t="s">
        <v>34</v>
      </c>
      <c r="O172" s="17"/>
      <c r="P172" s="17">
        <v>3</v>
      </c>
    </row>
    <row r="173" spans="1:16">
      <c r="A173" s="10">
        <v>170</v>
      </c>
      <c r="B173" s="25" t="s">
        <v>378</v>
      </c>
      <c r="C173" s="25" t="s">
        <v>379</v>
      </c>
      <c r="D173" s="13" t="str">
        <f t="shared" si="10"/>
        <v>513021********2506</v>
      </c>
      <c r="E173" s="17" t="s">
        <v>19</v>
      </c>
      <c r="F173" s="17">
        <f ca="1" t="shared" si="12"/>
        <v>60</v>
      </c>
      <c r="G173" s="17" t="s">
        <v>37</v>
      </c>
      <c r="H173" s="20"/>
      <c r="I173" s="13" t="s">
        <v>21</v>
      </c>
      <c r="J173" s="25" t="s">
        <v>148</v>
      </c>
      <c r="K173" s="25"/>
      <c r="L173" s="17"/>
      <c r="M173" s="17"/>
      <c r="N173" s="17" t="s">
        <v>34</v>
      </c>
      <c r="O173" s="17"/>
      <c r="P173" s="17"/>
    </row>
    <row r="174" spans="1:16">
      <c r="A174" s="10">
        <v>171</v>
      </c>
      <c r="B174" s="17" t="s">
        <v>380</v>
      </c>
      <c r="C174" s="17" t="s">
        <v>381</v>
      </c>
      <c r="D174" s="13" t="str">
        <f t="shared" si="10"/>
        <v>513021********252X</v>
      </c>
      <c r="E174" s="17" t="s">
        <v>19</v>
      </c>
      <c r="F174" s="17">
        <f ca="1" t="shared" si="12"/>
        <v>38</v>
      </c>
      <c r="G174" s="17"/>
      <c r="H174" s="20"/>
      <c r="I174" s="13" t="s">
        <v>21</v>
      </c>
      <c r="J174" s="25" t="s">
        <v>148</v>
      </c>
      <c r="K174" s="25"/>
      <c r="L174" s="17"/>
      <c r="M174" s="17"/>
      <c r="N174" s="17" t="s">
        <v>34</v>
      </c>
      <c r="O174" s="17"/>
      <c r="P174" s="17"/>
    </row>
    <row r="175" spans="1:16">
      <c r="A175" s="10">
        <v>172</v>
      </c>
      <c r="B175" s="25" t="s">
        <v>382</v>
      </c>
      <c r="C175" s="25" t="s">
        <v>383</v>
      </c>
      <c r="D175" s="13" t="str">
        <f t="shared" si="10"/>
        <v>513021********2527</v>
      </c>
      <c r="E175" s="17" t="s">
        <v>19</v>
      </c>
      <c r="F175" s="17">
        <f ca="1" t="shared" si="12"/>
        <v>88</v>
      </c>
      <c r="G175" s="17" t="s">
        <v>20</v>
      </c>
      <c r="H175" s="18">
        <v>240</v>
      </c>
      <c r="I175" s="13" t="s">
        <v>21</v>
      </c>
      <c r="J175" s="25" t="s">
        <v>148</v>
      </c>
      <c r="K175" s="25"/>
      <c r="L175" s="17" t="str">
        <f>VLOOKUP(C175,[2]Sheet1!$B$85:$U$273,20,0)</f>
        <v>肢体二级;</v>
      </c>
      <c r="M175" s="17"/>
      <c r="N175" s="17"/>
      <c r="O175" s="17"/>
      <c r="P175" s="17">
        <v>1</v>
      </c>
    </row>
    <row r="176" spans="1:16">
      <c r="A176" s="10">
        <v>173</v>
      </c>
      <c r="B176" s="25" t="s">
        <v>384</v>
      </c>
      <c r="C176" s="25" t="s">
        <v>385</v>
      </c>
      <c r="D176" s="13" t="str">
        <f t="shared" si="10"/>
        <v>513021********2556</v>
      </c>
      <c r="E176" s="17" t="s">
        <v>31</v>
      </c>
      <c r="F176" s="17">
        <f ca="1" t="shared" si="12"/>
        <v>75</v>
      </c>
      <c r="G176" s="17" t="s">
        <v>20</v>
      </c>
      <c r="H176" s="18">
        <v>240</v>
      </c>
      <c r="I176" s="13" t="s">
        <v>21</v>
      </c>
      <c r="J176" s="25" t="s">
        <v>148</v>
      </c>
      <c r="K176" s="25"/>
      <c r="L176" s="17"/>
      <c r="M176" s="17"/>
      <c r="N176" s="17" t="s">
        <v>34</v>
      </c>
      <c r="O176" s="17"/>
      <c r="P176" s="17">
        <v>1</v>
      </c>
    </row>
    <row r="177" spans="1:16">
      <c r="A177" s="10">
        <v>174</v>
      </c>
      <c r="B177" s="25" t="s">
        <v>386</v>
      </c>
      <c r="C177" s="25" t="s">
        <v>387</v>
      </c>
      <c r="D177" s="13" t="str">
        <f t="shared" si="10"/>
        <v>513021********2506</v>
      </c>
      <c r="E177" s="17" t="s">
        <v>19</v>
      </c>
      <c r="F177" s="17">
        <f ca="1" t="shared" si="12"/>
        <v>80</v>
      </c>
      <c r="G177" s="17" t="s">
        <v>20</v>
      </c>
      <c r="H177" s="18">
        <v>220</v>
      </c>
      <c r="I177" s="13" t="s">
        <v>21</v>
      </c>
      <c r="J177" s="25" t="s">
        <v>148</v>
      </c>
      <c r="K177" s="25"/>
      <c r="L177" s="17" t="str">
        <f>VLOOKUP(C177,[2]Sheet1!$B$85:$U$273,20,0)</f>
        <v>肢体四级;</v>
      </c>
      <c r="M177" s="17"/>
      <c r="N177" s="17" t="s">
        <v>34</v>
      </c>
      <c r="O177" s="17"/>
      <c r="P177" s="17">
        <v>2</v>
      </c>
    </row>
    <row r="178" spans="1:16">
      <c r="A178" s="10">
        <v>175</v>
      </c>
      <c r="B178" s="25" t="s">
        <v>388</v>
      </c>
      <c r="C178" s="25" t="s">
        <v>389</v>
      </c>
      <c r="D178" s="13" t="str">
        <f t="shared" si="10"/>
        <v>513021********2553</v>
      </c>
      <c r="E178" s="17" t="s">
        <v>31</v>
      </c>
      <c r="F178" s="17">
        <f ca="1" t="shared" si="12"/>
        <v>81</v>
      </c>
      <c r="G178" s="17" t="s">
        <v>37</v>
      </c>
      <c r="H178" s="20"/>
      <c r="I178" s="13" t="s">
        <v>21</v>
      </c>
      <c r="J178" s="25" t="s">
        <v>148</v>
      </c>
      <c r="K178" s="25"/>
      <c r="L178" s="17"/>
      <c r="M178" s="17"/>
      <c r="N178" s="17" t="s">
        <v>34</v>
      </c>
      <c r="O178" s="17"/>
      <c r="P178" s="17"/>
    </row>
    <row r="179" spans="1:16">
      <c r="A179" s="10">
        <v>176</v>
      </c>
      <c r="B179" s="25" t="s">
        <v>390</v>
      </c>
      <c r="C179" s="25" t="s">
        <v>391</v>
      </c>
      <c r="D179" s="13" t="str">
        <f t="shared" si="10"/>
        <v>513021********2504</v>
      </c>
      <c r="E179" s="17" t="s">
        <v>19</v>
      </c>
      <c r="F179" s="17">
        <f ca="1" t="shared" si="12"/>
        <v>70</v>
      </c>
      <c r="G179" s="17" t="s">
        <v>20</v>
      </c>
      <c r="H179" s="18">
        <v>220</v>
      </c>
      <c r="I179" s="13" t="s">
        <v>21</v>
      </c>
      <c r="J179" s="25" t="s">
        <v>148</v>
      </c>
      <c r="K179" s="25"/>
      <c r="L179" s="17" t="str">
        <f>VLOOKUP(C179,[2]Sheet1!$B$85:$U$273,20,0)</f>
        <v>肢体四级;</v>
      </c>
      <c r="M179" s="17"/>
      <c r="N179" s="17" t="s">
        <v>34</v>
      </c>
      <c r="O179" s="17"/>
      <c r="P179" s="17">
        <v>6</v>
      </c>
    </row>
    <row r="180" spans="1:16">
      <c r="A180" s="10">
        <v>177</v>
      </c>
      <c r="B180" s="25" t="s">
        <v>392</v>
      </c>
      <c r="C180" s="25" t="s">
        <v>393</v>
      </c>
      <c r="D180" s="13" t="str">
        <f t="shared" si="10"/>
        <v>513021********2557</v>
      </c>
      <c r="E180" s="17" t="s">
        <v>31</v>
      </c>
      <c r="F180" s="17">
        <f ca="1" t="shared" si="12"/>
        <v>76</v>
      </c>
      <c r="G180" s="17" t="s">
        <v>37</v>
      </c>
      <c r="H180" s="20"/>
      <c r="I180" s="13" t="s">
        <v>21</v>
      </c>
      <c r="J180" s="25" t="s">
        <v>148</v>
      </c>
      <c r="K180" s="25"/>
      <c r="L180" s="17"/>
      <c r="M180" s="17"/>
      <c r="N180" s="17" t="s">
        <v>34</v>
      </c>
      <c r="O180" s="17"/>
      <c r="P180" s="17"/>
    </row>
    <row r="181" spans="1:16">
      <c r="A181" s="10">
        <v>178</v>
      </c>
      <c r="B181" s="17" t="s">
        <v>394</v>
      </c>
      <c r="C181" s="17" t="s">
        <v>395</v>
      </c>
      <c r="D181" s="13" t="str">
        <f t="shared" si="10"/>
        <v>513021********1671</v>
      </c>
      <c r="E181" s="17" t="s">
        <v>31</v>
      </c>
      <c r="F181" s="17">
        <f ca="1" t="shared" si="12"/>
        <v>51</v>
      </c>
      <c r="G181" s="17"/>
      <c r="H181" s="20"/>
      <c r="I181" s="13" t="s">
        <v>21</v>
      </c>
      <c r="J181" s="25" t="s">
        <v>148</v>
      </c>
      <c r="K181" s="25"/>
      <c r="L181" s="17"/>
      <c r="M181" s="17"/>
      <c r="N181" s="17" t="s">
        <v>34</v>
      </c>
      <c r="O181" s="17"/>
      <c r="P181" s="17"/>
    </row>
    <row r="182" spans="1:16">
      <c r="A182" s="10">
        <v>179</v>
      </c>
      <c r="B182" s="17" t="s">
        <v>396</v>
      </c>
      <c r="C182" s="17" t="s">
        <v>397</v>
      </c>
      <c r="D182" s="13" t="str">
        <f t="shared" si="10"/>
        <v>511721********0239</v>
      </c>
      <c r="E182" s="17" t="s">
        <v>31</v>
      </c>
      <c r="F182" s="17">
        <f ca="1" t="shared" si="12"/>
        <v>8</v>
      </c>
      <c r="G182" s="17"/>
      <c r="H182" s="20"/>
      <c r="I182" s="13" t="s">
        <v>21</v>
      </c>
      <c r="J182" s="25" t="s">
        <v>148</v>
      </c>
      <c r="K182" s="25"/>
      <c r="L182" s="17"/>
      <c r="M182" s="17"/>
      <c r="N182" s="17" t="s">
        <v>34</v>
      </c>
      <c r="O182" s="17"/>
      <c r="P182" s="17"/>
    </row>
    <row r="183" spans="1:16">
      <c r="A183" s="10">
        <v>180</v>
      </c>
      <c r="B183" s="17" t="s">
        <v>398</v>
      </c>
      <c r="C183" s="17" t="s">
        <v>399</v>
      </c>
      <c r="D183" s="13" t="str">
        <f t="shared" si="10"/>
        <v>513021********2505</v>
      </c>
      <c r="E183" s="17" t="s">
        <v>19</v>
      </c>
      <c r="F183" s="17">
        <f ca="1" t="shared" si="12"/>
        <v>47</v>
      </c>
      <c r="G183" s="17"/>
      <c r="H183" s="20"/>
      <c r="I183" s="13" t="s">
        <v>21</v>
      </c>
      <c r="J183" s="25" t="s">
        <v>148</v>
      </c>
      <c r="K183" s="25"/>
      <c r="L183" s="17" t="str">
        <f>VLOOKUP(C183,[2]Sheet1!$B$85:$U$273,20,0)</f>
        <v>智力三级;</v>
      </c>
      <c r="M183" s="17"/>
      <c r="N183" s="17" t="s">
        <v>34</v>
      </c>
      <c r="O183" s="17"/>
      <c r="P183" s="17"/>
    </row>
    <row r="184" spans="1:16">
      <c r="A184" s="10">
        <v>181</v>
      </c>
      <c r="B184" s="17" t="s">
        <v>400</v>
      </c>
      <c r="C184" s="17" t="s">
        <v>401</v>
      </c>
      <c r="D184" s="13" t="str">
        <f t="shared" si="10"/>
        <v>513021********2509</v>
      </c>
      <c r="E184" s="17" t="s">
        <v>19</v>
      </c>
      <c r="F184" s="17">
        <f ca="1" t="shared" si="12"/>
        <v>26</v>
      </c>
      <c r="G184" s="17"/>
      <c r="H184" s="20"/>
      <c r="I184" s="13" t="s">
        <v>21</v>
      </c>
      <c r="J184" s="25" t="s">
        <v>148</v>
      </c>
      <c r="K184" s="25"/>
      <c r="L184" s="17"/>
      <c r="M184" s="17"/>
      <c r="N184" s="17" t="s">
        <v>34</v>
      </c>
      <c r="O184" s="17"/>
      <c r="P184" s="17"/>
    </row>
    <row r="185" spans="1:16">
      <c r="A185" s="10">
        <v>182</v>
      </c>
      <c r="B185" s="13" t="s">
        <v>402</v>
      </c>
      <c r="C185" s="43" t="s">
        <v>403</v>
      </c>
      <c r="D185" s="13" t="str">
        <f t="shared" si="10"/>
        <v>513021********2574</v>
      </c>
      <c r="E185" s="13" t="s">
        <v>31</v>
      </c>
      <c r="F185" s="17">
        <f ca="1" t="shared" si="12"/>
        <v>88</v>
      </c>
      <c r="G185" s="13"/>
      <c r="H185" s="18">
        <v>240</v>
      </c>
      <c r="I185" s="13" t="s">
        <v>21</v>
      </c>
      <c r="J185" s="16" t="s">
        <v>148</v>
      </c>
      <c r="K185" s="13"/>
      <c r="L185" s="17"/>
      <c r="M185" s="13"/>
      <c r="N185" s="17"/>
      <c r="O185" s="13"/>
      <c r="P185" s="13">
        <v>1</v>
      </c>
    </row>
    <row r="186" spans="1:16">
      <c r="A186" s="10">
        <v>183</v>
      </c>
      <c r="B186" s="13" t="s">
        <v>404</v>
      </c>
      <c r="C186" s="43" t="s">
        <v>405</v>
      </c>
      <c r="D186" s="13" t="str">
        <f t="shared" si="10"/>
        <v>513021********0870</v>
      </c>
      <c r="E186" s="13" t="s">
        <v>31</v>
      </c>
      <c r="F186" s="17">
        <f ca="1" t="shared" si="12"/>
        <v>71</v>
      </c>
      <c r="G186" s="13"/>
      <c r="H186" s="18">
        <v>240</v>
      </c>
      <c r="I186" s="13" t="s">
        <v>21</v>
      </c>
      <c r="J186" s="16" t="s">
        <v>148</v>
      </c>
      <c r="K186" s="13"/>
      <c r="L186" s="17"/>
      <c r="M186" s="13"/>
      <c r="N186" s="17"/>
      <c r="O186" s="13"/>
      <c r="P186" s="13">
        <v>1</v>
      </c>
    </row>
    <row r="187" spans="1:16">
      <c r="A187" s="10">
        <v>184</v>
      </c>
      <c r="B187" s="13" t="s">
        <v>406</v>
      </c>
      <c r="C187" s="17" t="s">
        <v>407</v>
      </c>
      <c r="D187" s="13" t="str">
        <f t="shared" si="10"/>
        <v>513021********0917</v>
      </c>
      <c r="E187" s="13" t="s">
        <v>31</v>
      </c>
      <c r="F187" s="17">
        <f ca="1" t="shared" si="12"/>
        <v>54</v>
      </c>
      <c r="G187" s="13"/>
      <c r="H187" s="18">
        <v>220</v>
      </c>
      <c r="I187" s="13" t="s">
        <v>21</v>
      </c>
      <c r="J187" s="16" t="s">
        <v>148</v>
      </c>
      <c r="K187" s="13"/>
      <c r="L187" s="17"/>
      <c r="M187" s="13"/>
      <c r="N187" s="17" t="s">
        <v>34</v>
      </c>
      <c r="O187" s="13"/>
      <c r="P187" s="13">
        <v>2</v>
      </c>
    </row>
    <row r="188" spans="1:16">
      <c r="A188" s="10">
        <v>185</v>
      </c>
      <c r="B188" s="13" t="s">
        <v>408</v>
      </c>
      <c r="C188" s="43" t="s">
        <v>409</v>
      </c>
      <c r="D188" s="13" t="str">
        <f t="shared" si="10"/>
        <v>513021********0891</v>
      </c>
      <c r="E188" s="13" t="s">
        <v>31</v>
      </c>
      <c r="F188" s="17">
        <f ca="1" t="shared" si="12"/>
        <v>32</v>
      </c>
      <c r="G188" s="13"/>
      <c r="H188" s="20"/>
      <c r="I188" s="13" t="s">
        <v>21</v>
      </c>
      <c r="J188" s="16" t="s">
        <v>148</v>
      </c>
      <c r="K188" s="13"/>
      <c r="L188" s="17"/>
      <c r="M188" s="13"/>
      <c r="N188" s="17" t="s">
        <v>34</v>
      </c>
      <c r="O188" s="13"/>
      <c r="P188" s="13"/>
    </row>
    <row r="189" spans="1:16">
      <c r="A189" s="10">
        <v>186</v>
      </c>
      <c r="B189" s="17" t="s">
        <v>410</v>
      </c>
      <c r="C189" s="17" t="s">
        <v>411</v>
      </c>
      <c r="D189" s="13" t="str">
        <f t="shared" si="10"/>
        <v>513021********0906</v>
      </c>
      <c r="E189" s="13" t="s">
        <v>19</v>
      </c>
      <c r="F189" s="17">
        <f ca="1" t="shared" si="12"/>
        <v>54</v>
      </c>
      <c r="G189" s="13" t="s">
        <v>20</v>
      </c>
      <c r="H189" s="18">
        <v>710</v>
      </c>
      <c r="I189" s="13" t="s">
        <v>21</v>
      </c>
      <c r="J189" s="16" t="s">
        <v>148</v>
      </c>
      <c r="K189" s="13"/>
      <c r="L189" s="17" t="str">
        <f>VLOOKUP(C189,[2]Sheet1!$B$85:$U$273,20,0)</f>
        <v>视力一级;</v>
      </c>
      <c r="M189" s="13"/>
      <c r="N189" s="17" t="s">
        <v>34</v>
      </c>
      <c r="O189" s="13"/>
      <c r="P189" s="13">
        <v>2</v>
      </c>
    </row>
    <row r="190" spans="1:16">
      <c r="A190" s="10">
        <v>187</v>
      </c>
      <c r="B190" s="13" t="s">
        <v>412</v>
      </c>
      <c r="C190" s="43" t="s">
        <v>413</v>
      </c>
      <c r="D190" s="13" t="str">
        <f t="shared" si="10"/>
        <v>513021********0876</v>
      </c>
      <c r="E190" s="13" t="s">
        <v>31</v>
      </c>
      <c r="F190" s="17">
        <f ca="1" t="shared" si="12"/>
        <v>59</v>
      </c>
      <c r="G190" s="13" t="s">
        <v>37</v>
      </c>
      <c r="H190" s="20"/>
      <c r="I190" s="13" t="s">
        <v>21</v>
      </c>
      <c r="J190" s="16" t="s">
        <v>148</v>
      </c>
      <c r="K190" s="13"/>
      <c r="L190" s="17"/>
      <c r="M190" s="13"/>
      <c r="N190" s="17" t="s">
        <v>34</v>
      </c>
      <c r="O190" s="13"/>
      <c r="P190" s="13"/>
    </row>
    <row r="191" spans="1:16">
      <c r="A191" s="10">
        <v>188</v>
      </c>
      <c r="B191" s="13" t="s">
        <v>414</v>
      </c>
      <c r="C191" s="13" t="str">
        <f>"513021196908130457"</f>
        <v>513021196908130457</v>
      </c>
      <c r="D191" s="13" t="str">
        <f t="shared" si="10"/>
        <v>513021********0457</v>
      </c>
      <c r="E191" s="13" t="str">
        <f>IF(MOD(MID(C191,17,1),2)=1,"男","女")</f>
        <v>男</v>
      </c>
      <c r="F191" s="17">
        <f ca="1" t="shared" ref="F191:F237" si="13">YEAR(TODAY())-MID(C191,7,4)</f>
        <v>55</v>
      </c>
      <c r="G191" s="13" t="s">
        <v>20</v>
      </c>
      <c r="H191" s="18">
        <v>240</v>
      </c>
      <c r="I191" s="13" t="s">
        <v>21</v>
      </c>
      <c r="J191" s="13" t="s">
        <v>415</v>
      </c>
      <c r="K191" s="13"/>
      <c r="L191" s="17" t="str">
        <f>VLOOKUP(C191,[1]Sheet1!$B$2:$U$630,20,0)</f>
        <v>精神三级;</v>
      </c>
      <c r="M191" s="13" t="s">
        <v>416</v>
      </c>
      <c r="N191" s="17"/>
      <c r="O191" s="13" t="s">
        <v>417</v>
      </c>
      <c r="P191" s="13">
        <v>1</v>
      </c>
    </row>
    <row r="192" spans="1:16">
      <c r="A192" s="10">
        <v>189</v>
      </c>
      <c r="B192" s="13" t="s">
        <v>418</v>
      </c>
      <c r="C192" s="13" t="str">
        <f>"513021199301170456"</f>
        <v>513021199301170456</v>
      </c>
      <c r="D192" s="13" t="str">
        <f t="shared" si="10"/>
        <v>513021********0456</v>
      </c>
      <c r="E192" s="13" t="str">
        <f>IF(MOD(MID(C192,17,1),2)=1,"男","女")</f>
        <v>男</v>
      </c>
      <c r="F192" s="17">
        <f ca="1" t="shared" si="13"/>
        <v>31</v>
      </c>
      <c r="G192" s="13" t="s">
        <v>20</v>
      </c>
      <c r="H192" s="18">
        <v>240</v>
      </c>
      <c r="I192" s="13" t="s">
        <v>21</v>
      </c>
      <c r="J192" s="13" t="s">
        <v>415</v>
      </c>
      <c r="K192" s="13"/>
      <c r="L192" s="17"/>
      <c r="M192" s="13" t="s">
        <v>416</v>
      </c>
      <c r="N192" s="17" t="s">
        <v>34</v>
      </c>
      <c r="O192" s="13" t="s">
        <v>417</v>
      </c>
      <c r="P192" s="13">
        <v>1</v>
      </c>
    </row>
    <row r="193" spans="1:16">
      <c r="A193" s="10">
        <v>190</v>
      </c>
      <c r="B193" s="13" t="s">
        <v>419</v>
      </c>
      <c r="C193" s="13" t="str">
        <f>"513021194109140457"</f>
        <v>513021194109140457</v>
      </c>
      <c r="D193" s="13" t="str">
        <f t="shared" si="10"/>
        <v>513021********0457</v>
      </c>
      <c r="E193" s="13" t="str">
        <f>IF(MOD(MID(C193,17,1),2)=1,"男","女")</f>
        <v>男</v>
      </c>
      <c r="F193" s="17">
        <f ca="1" t="shared" si="13"/>
        <v>83</v>
      </c>
      <c r="G193" s="13" t="s">
        <v>20</v>
      </c>
      <c r="H193" s="18">
        <v>240</v>
      </c>
      <c r="I193" s="13" t="s">
        <v>21</v>
      </c>
      <c r="J193" s="13" t="s">
        <v>415</v>
      </c>
      <c r="K193" s="13"/>
      <c r="L193" s="17" t="str">
        <f>VLOOKUP(C193,[1]Sheet1!$B$2:$U$630,20,0)</f>
        <v>肢体四级;</v>
      </c>
      <c r="M193" s="13" t="s">
        <v>416</v>
      </c>
      <c r="N193" s="17"/>
      <c r="O193" s="13" t="s">
        <v>417</v>
      </c>
      <c r="P193" s="13">
        <v>1</v>
      </c>
    </row>
    <row r="194" spans="1:16">
      <c r="A194" s="10">
        <v>191</v>
      </c>
      <c r="B194" s="13" t="s">
        <v>420</v>
      </c>
      <c r="C194" s="13" t="str">
        <f>"513021197202240456"</f>
        <v>513021197202240456</v>
      </c>
      <c r="D194" s="13" t="str">
        <f t="shared" si="10"/>
        <v>513021********0456</v>
      </c>
      <c r="E194" s="13" t="str">
        <f>IF(MOD(MID(C194,17,1),2)=1,"男","女")</f>
        <v>男</v>
      </c>
      <c r="F194" s="17">
        <f ca="1" t="shared" si="13"/>
        <v>52</v>
      </c>
      <c r="G194" s="13" t="s">
        <v>20</v>
      </c>
      <c r="H194" s="18">
        <v>220</v>
      </c>
      <c r="I194" s="13" t="s">
        <v>21</v>
      </c>
      <c r="J194" s="13" t="s">
        <v>415</v>
      </c>
      <c r="K194" s="13"/>
      <c r="L194" s="17" t="str">
        <f>VLOOKUP(C194,[1]Sheet1!$B$2:$U$630,20,0)</f>
        <v>精神二级;</v>
      </c>
      <c r="M194" s="13" t="s">
        <v>416</v>
      </c>
      <c r="N194" s="17" t="s">
        <v>34</v>
      </c>
      <c r="O194" s="13"/>
      <c r="P194" s="13">
        <v>1</v>
      </c>
    </row>
    <row r="195" ht="15.6" spans="1:16">
      <c r="A195" s="10">
        <v>192</v>
      </c>
      <c r="B195" s="34" t="s">
        <v>421</v>
      </c>
      <c r="C195" s="44" t="s">
        <v>422</v>
      </c>
      <c r="D195" s="13" t="str">
        <f t="shared" si="10"/>
        <v>513021********0457</v>
      </c>
      <c r="E195" s="13" t="s">
        <v>31</v>
      </c>
      <c r="F195" s="17">
        <f ca="1" t="shared" si="13"/>
        <v>61</v>
      </c>
      <c r="G195" s="13" t="s">
        <v>20</v>
      </c>
      <c r="H195" s="18">
        <v>220</v>
      </c>
      <c r="I195" s="13" t="s">
        <v>21</v>
      </c>
      <c r="J195" s="13" t="s">
        <v>415</v>
      </c>
      <c r="K195" s="13"/>
      <c r="L195" s="17"/>
      <c r="M195" s="13"/>
      <c r="N195" s="17"/>
      <c r="O195" s="13" t="s">
        <v>23</v>
      </c>
      <c r="P195" s="13">
        <v>1</v>
      </c>
    </row>
    <row r="196" spans="1:16">
      <c r="A196" s="10">
        <v>193</v>
      </c>
      <c r="B196" s="13" t="s">
        <v>423</v>
      </c>
      <c r="C196" s="13" t="s">
        <v>424</v>
      </c>
      <c r="D196" s="13" t="str">
        <f t="shared" si="10"/>
        <v>513021********088X</v>
      </c>
      <c r="E196" s="13" t="str">
        <f t="shared" ref="E196:E214" si="14">IF(MOD(MID(C196,17,1),2)=1,"男","女")</f>
        <v>女</v>
      </c>
      <c r="F196" s="17">
        <f ca="1" t="shared" si="13"/>
        <v>53</v>
      </c>
      <c r="G196" s="13" t="s">
        <v>20</v>
      </c>
      <c r="H196" s="18">
        <v>220</v>
      </c>
      <c r="I196" s="13" t="s">
        <v>21</v>
      </c>
      <c r="J196" s="13" t="s">
        <v>415</v>
      </c>
      <c r="K196" s="13"/>
      <c r="L196" s="17"/>
      <c r="M196" s="13" t="s">
        <v>416</v>
      </c>
      <c r="N196" s="17" t="s">
        <v>34</v>
      </c>
      <c r="O196" s="13"/>
      <c r="P196" s="13">
        <v>2</v>
      </c>
    </row>
    <row r="197" ht="15.6" spans="1:16">
      <c r="A197" s="10">
        <v>194</v>
      </c>
      <c r="B197" s="34" t="s">
        <v>425</v>
      </c>
      <c r="C197" s="34" t="s">
        <v>426</v>
      </c>
      <c r="D197" s="13" t="str">
        <f t="shared" ref="D197:D260" si="15">REPLACE(C197,7,8,"********")</f>
        <v>513021********0458</v>
      </c>
      <c r="E197" s="13" t="str">
        <f t="shared" si="14"/>
        <v>男</v>
      </c>
      <c r="F197" s="17">
        <f ca="1" t="shared" si="13"/>
        <v>56</v>
      </c>
      <c r="G197" s="13" t="s">
        <v>37</v>
      </c>
      <c r="H197" s="20"/>
      <c r="I197" s="13" t="s">
        <v>21</v>
      </c>
      <c r="J197" s="13" t="s">
        <v>415</v>
      </c>
      <c r="K197" s="13"/>
      <c r="L197" s="17"/>
      <c r="M197" s="13" t="s">
        <v>416</v>
      </c>
      <c r="N197" s="17" t="s">
        <v>34</v>
      </c>
      <c r="O197" s="13"/>
      <c r="P197" s="13"/>
    </row>
    <row r="198" spans="1:16">
      <c r="A198" s="10">
        <v>195</v>
      </c>
      <c r="B198" s="13" t="s">
        <v>183</v>
      </c>
      <c r="C198" s="13" t="str">
        <f>"513021194404160450"</f>
        <v>513021194404160450</v>
      </c>
      <c r="D198" s="13" t="str">
        <f t="shared" si="15"/>
        <v>513021********0450</v>
      </c>
      <c r="E198" s="13" t="str">
        <f t="shared" si="14"/>
        <v>男</v>
      </c>
      <c r="F198" s="17">
        <f ca="1" t="shared" si="13"/>
        <v>80</v>
      </c>
      <c r="G198" s="13" t="s">
        <v>20</v>
      </c>
      <c r="H198" s="18">
        <v>220</v>
      </c>
      <c r="I198" s="13" t="s">
        <v>21</v>
      </c>
      <c r="J198" s="13" t="s">
        <v>415</v>
      </c>
      <c r="K198" s="13"/>
      <c r="L198" s="17"/>
      <c r="M198" s="13" t="s">
        <v>416</v>
      </c>
      <c r="N198" s="17" t="s">
        <v>34</v>
      </c>
      <c r="O198" s="13"/>
      <c r="P198" s="13">
        <v>2</v>
      </c>
    </row>
    <row r="199" ht="15.6" spans="1:16">
      <c r="A199" s="10">
        <v>196</v>
      </c>
      <c r="B199" s="34" t="s">
        <v>427</v>
      </c>
      <c r="C199" s="34" t="s">
        <v>428</v>
      </c>
      <c r="D199" s="13" t="str">
        <f t="shared" si="15"/>
        <v>513021********0451</v>
      </c>
      <c r="E199" s="13" t="str">
        <f t="shared" si="14"/>
        <v>男</v>
      </c>
      <c r="F199" s="17">
        <f ca="1" t="shared" si="13"/>
        <v>46</v>
      </c>
      <c r="G199" s="34" t="s">
        <v>429</v>
      </c>
      <c r="H199" s="20"/>
      <c r="I199" s="13" t="s">
        <v>21</v>
      </c>
      <c r="J199" s="13" t="s">
        <v>415</v>
      </c>
      <c r="K199" s="13"/>
      <c r="L199" s="17"/>
      <c r="M199" s="13" t="s">
        <v>416</v>
      </c>
      <c r="N199" s="17" t="s">
        <v>34</v>
      </c>
      <c r="O199" s="13"/>
      <c r="P199" s="13"/>
    </row>
    <row r="200" spans="1:16">
      <c r="A200" s="10">
        <v>197</v>
      </c>
      <c r="B200" s="13" t="s">
        <v>430</v>
      </c>
      <c r="C200" s="13" t="str">
        <f>"513021193305300441"</f>
        <v>513021193305300441</v>
      </c>
      <c r="D200" s="13" t="str">
        <f t="shared" si="15"/>
        <v>513021********0441</v>
      </c>
      <c r="E200" s="13" t="str">
        <f t="shared" si="14"/>
        <v>女</v>
      </c>
      <c r="F200" s="17">
        <f ca="1" t="shared" si="13"/>
        <v>91</v>
      </c>
      <c r="G200" s="13" t="s">
        <v>20</v>
      </c>
      <c r="H200" s="18">
        <v>240</v>
      </c>
      <c r="I200" s="13" t="s">
        <v>21</v>
      </c>
      <c r="J200" s="13" t="s">
        <v>415</v>
      </c>
      <c r="K200" s="13"/>
      <c r="L200" s="17"/>
      <c r="M200" s="13" t="s">
        <v>416</v>
      </c>
      <c r="N200" s="17"/>
      <c r="O200" s="13" t="s">
        <v>417</v>
      </c>
      <c r="P200" s="13">
        <v>1</v>
      </c>
    </row>
    <row r="201" spans="1:16">
      <c r="A201" s="10">
        <v>198</v>
      </c>
      <c r="B201" s="13" t="s">
        <v>431</v>
      </c>
      <c r="C201" s="13" t="str">
        <f>"513021196203090440"</f>
        <v>513021196203090440</v>
      </c>
      <c r="D201" s="13" t="str">
        <f t="shared" si="15"/>
        <v>513021********0440</v>
      </c>
      <c r="E201" s="13" t="str">
        <f t="shared" si="14"/>
        <v>女</v>
      </c>
      <c r="F201" s="17">
        <f ca="1" t="shared" si="13"/>
        <v>62</v>
      </c>
      <c r="G201" s="13" t="s">
        <v>20</v>
      </c>
      <c r="H201" s="18">
        <v>220</v>
      </c>
      <c r="I201" s="13" t="s">
        <v>21</v>
      </c>
      <c r="J201" s="13" t="s">
        <v>415</v>
      </c>
      <c r="K201" s="13"/>
      <c r="L201" s="17"/>
      <c r="M201" s="13" t="s">
        <v>416</v>
      </c>
      <c r="N201" s="17" t="s">
        <v>34</v>
      </c>
      <c r="O201" s="13"/>
      <c r="P201" s="13">
        <v>5</v>
      </c>
    </row>
    <row r="202" ht="15.6" spans="1:16">
      <c r="A202" s="10">
        <v>199</v>
      </c>
      <c r="B202" s="34" t="s">
        <v>432</v>
      </c>
      <c r="C202" s="34" t="s">
        <v>433</v>
      </c>
      <c r="D202" s="13" t="str">
        <f t="shared" si="15"/>
        <v>513021********0456</v>
      </c>
      <c r="E202" s="13" t="str">
        <f t="shared" si="14"/>
        <v>男</v>
      </c>
      <c r="F202" s="17">
        <f ca="1" t="shared" si="13"/>
        <v>40</v>
      </c>
      <c r="G202" s="13" t="s">
        <v>434</v>
      </c>
      <c r="H202" s="20"/>
      <c r="I202" s="13" t="s">
        <v>21</v>
      </c>
      <c r="J202" s="13" t="s">
        <v>415</v>
      </c>
      <c r="K202" s="13"/>
      <c r="L202" s="17"/>
      <c r="M202" s="13" t="s">
        <v>416</v>
      </c>
      <c r="N202" s="17" t="s">
        <v>34</v>
      </c>
      <c r="O202" s="13"/>
      <c r="P202" s="13"/>
    </row>
    <row r="203" ht="15.6" spans="1:16">
      <c r="A203" s="10">
        <v>200</v>
      </c>
      <c r="B203" s="34" t="s">
        <v>435</v>
      </c>
      <c r="C203" s="34" t="s">
        <v>436</v>
      </c>
      <c r="D203" s="13" t="str">
        <f t="shared" si="15"/>
        <v>530324********1745</v>
      </c>
      <c r="E203" s="13" t="str">
        <f t="shared" si="14"/>
        <v>女</v>
      </c>
      <c r="F203" s="17">
        <f ca="1" t="shared" si="13"/>
        <v>36</v>
      </c>
      <c r="G203" s="13" t="s">
        <v>437</v>
      </c>
      <c r="H203" s="20"/>
      <c r="I203" s="13" t="s">
        <v>21</v>
      </c>
      <c r="J203" s="13" t="s">
        <v>415</v>
      </c>
      <c r="K203" s="13"/>
      <c r="L203" s="17"/>
      <c r="M203" s="13" t="s">
        <v>416</v>
      </c>
      <c r="N203" s="17" t="s">
        <v>34</v>
      </c>
      <c r="O203" s="13"/>
      <c r="P203" s="13"/>
    </row>
    <row r="204" ht="15.6" spans="1:16">
      <c r="A204" s="10">
        <v>201</v>
      </c>
      <c r="B204" s="34" t="s">
        <v>438</v>
      </c>
      <c r="C204" s="34" t="s">
        <v>439</v>
      </c>
      <c r="D204" s="13" t="str">
        <f t="shared" si="15"/>
        <v>511721********5717</v>
      </c>
      <c r="E204" s="13" t="str">
        <f t="shared" si="14"/>
        <v>男</v>
      </c>
      <c r="F204" s="17">
        <f ca="1" t="shared" si="13"/>
        <v>18</v>
      </c>
      <c r="G204" s="13" t="s">
        <v>440</v>
      </c>
      <c r="H204" s="20"/>
      <c r="I204" s="13" t="s">
        <v>21</v>
      </c>
      <c r="J204" s="13" t="s">
        <v>415</v>
      </c>
      <c r="K204" s="13"/>
      <c r="L204" s="17"/>
      <c r="M204" s="13" t="s">
        <v>416</v>
      </c>
      <c r="N204" s="17" t="s">
        <v>34</v>
      </c>
      <c r="O204" s="13"/>
      <c r="P204" s="13"/>
    </row>
    <row r="205" ht="15.6" spans="1:16">
      <c r="A205" s="10">
        <v>202</v>
      </c>
      <c r="B205" s="34" t="s">
        <v>441</v>
      </c>
      <c r="C205" s="34" t="s">
        <v>442</v>
      </c>
      <c r="D205" s="13" t="str">
        <f t="shared" si="15"/>
        <v>511721********5742</v>
      </c>
      <c r="E205" s="13" t="str">
        <f t="shared" si="14"/>
        <v>女</v>
      </c>
      <c r="F205" s="17">
        <f ca="1" t="shared" si="13"/>
        <v>13</v>
      </c>
      <c r="G205" s="13" t="s">
        <v>440</v>
      </c>
      <c r="H205" s="20"/>
      <c r="I205" s="13" t="s">
        <v>21</v>
      </c>
      <c r="J205" s="13" t="s">
        <v>415</v>
      </c>
      <c r="K205" s="13"/>
      <c r="L205" s="17"/>
      <c r="M205" s="13" t="s">
        <v>416</v>
      </c>
      <c r="N205" s="17" t="s">
        <v>34</v>
      </c>
      <c r="O205" s="13"/>
      <c r="P205" s="13"/>
    </row>
    <row r="206" spans="1:16">
      <c r="A206" s="10">
        <v>203</v>
      </c>
      <c r="B206" s="13" t="s">
        <v>443</v>
      </c>
      <c r="C206" s="13" t="str">
        <f>"513021193512280455"</f>
        <v>513021193512280455</v>
      </c>
      <c r="D206" s="13" t="str">
        <f t="shared" si="15"/>
        <v>513021********0455</v>
      </c>
      <c r="E206" s="13" t="str">
        <f t="shared" si="14"/>
        <v>男</v>
      </c>
      <c r="F206" s="17">
        <f ca="1" t="shared" si="13"/>
        <v>89</v>
      </c>
      <c r="G206" s="13" t="s">
        <v>20</v>
      </c>
      <c r="H206" s="18">
        <v>240</v>
      </c>
      <c r="I206" s="13" t="s">
        <v>21</v>
      </c>
      <c r="J206" s="13" t="s">
        <v>415</v>
      </c>
      <c r="K206" s="13"/>
      <c r="L206" s="17"/>
      <c r="M206" s="13" t="s">
        <v>416</v>
      </c>
      <c r="N206" s="17" t="s">
        <v>34</v>
      </c>
      <c r="O206" s="13"/>
      <c r="P206" s="13">
        <v>2</v>
      </c>
    </row>
    <row r="207" ht="15.6" spans="1:16">
      <c r="A207" s="10">
        <v>204</v>
      </c>
      <c r="B207" s="34" t="s">
        <v>444</v>
      </c>
      <c r="C207" s="34" t="s">
        <v>445</v>
      </c>
      <c r="D207" s="13" t="str">
        <f t="shared" si="15"/>
        <v>513021********0459</v>
      </c>
      <c r="E207" s="13" t="str">
        <f t="shared" si="14"/>
        <v>男</v>
      </c>
      <c r="F207" s="17">
        <f ca="1" t="shared" si="13"/>
        <v>63</v>
      </c>
      <c r="G207" s="13" t="s">
        <v>429</v>
      </c>
      <c r="H207" s="20"/>
      <c r="I207" s="13" t="s">
        <v>21</v>
      </c>
      <c r="J207" s="13" t="s">
        <v>415</v>
      </c>
      <c r="K207" s="13"/>
      <c r="L207" s="17"/>
      <c r="M207" s="13" t="s">
        <v>416</v>
      </c>
      <c r="N207" s="17" t="s">
        <v>34</v>
      </c>
      <c r="O207" s="13"/>
      <c r="P207" s="13"/>
    </row>
    <row r="208" spans="1:16">
      <c r="A208" s="10">
        <v>205</v>
      </c>
      <c r="B208" s="13" t="s">
        <v>446</v>
      </c>
      <c r="C208" s="13" t="str">
        <f>"513021197205100627"</f>
        <v>513021197205100627</v>
      </c>
      <c r="D208" s="13" t="str">
        <f t="shared" si="15"/>
        <v>513021********0627</v>
      </c>
      <c r="E208" s="13" t="str">
        <f t="shared" si="14"/>
        <v>女</v>
      </c>
      <c r="F208" s="17">
        <f ca="1" t="shared" si="13"/>
        <v>52</v>
      </c>
      <c r="G208" s="13" t="s">
        <v>20</v>
      </c>
      <c r="H208" s="18">
        <v>240</v>
      </c>
      <c r="I208" s="13" t="s">
        <v>21</v>
      </c>
      <c r="J208" s="13" t="s">
        <v>415</v>
      </c>
      <c r="K208" s="13"/>
      <c r="L208" s="17"/>
      <c r="M208" s="13" t="s">
        <v>416</v>
      </c>
      <c r="N208" s="17"/>
      <c r="O208" s="13" t="s">
        <v>417</v>
      </c>
      <c r="P208" s="13">
        <v>1</v>
      </c>
    </row>
    <row r="209" spans="1:16">
      <c r="A209" s="10">
        <v>206</v>
      </c>
      <c r="B209" s="13" t="s">
        <v>447</v>
      </c>
      <c r="C209" s="13" t="str">
        <f>"513021193108200441"</f>
        <v>513021193108200441</v>
      </c>
      <c r="D209" s="13" t="str">
        <f t="shared" si="15"/>
        <v>513021********0441</v>
      </c>
      <c r="E209" s="13" t="str">
        <f t="shared" si="14"/>
        <v>女</v>
      </c>
      <c r="F209" s="17">
        <f ca="1" t="shared" si="13"/>
        <v>93</v>
      </c>
      <c r="G209" s="13" t="s">
        <v>20</v>
      </c>
      <c r="H209" s="18">
        <v>240</v>
      </c>
      <c r="I209" s="13" t="s">
        <v>21</v>
      </c>
      <c r="J209" s="13" t="s">
        <v>415</v>
      </c>
      <c r="K209" s="13"/>
      <c r="L209" s="17"/>
      <c r="M209" s="13" t="s">
        <v>416</v>
      </c>
      <c r="N209" s="17" t="s">
        <v>34</v>
      </c>
      <c r="O209" s="13" t="s">
        <v>417</v>
      </c>
      <c r="P209" s="13">
        <v>1</v>
      </c>
    </row>
    <row r="210" spans="1:16">
      <c r="A210" s="10">
        <v>207</v>
      </c>
      <c r="B210" s="13" t="s">
        <v>448</v>
      </c>
      <c r="C210" s="13" t="str">
        <f>"513030195711192824"</f>
        <v>513030195711192824</v>
      </c>
      <c r="D210" s="13" t="str">
        <f t="shared" si="15"/>
        <v>513030********2824</v>
      </c>
      <c r="E210" s="13" t="str">
        <f t="shared" si="14"/>
        <v>女</v>
      </c>
      <c r="F210" s="17">
        <f ca="1" t="shared" si="13"/>
        <v>67</v>
      </c>
      <c r="G210" s="13" t="s">
        <v>20</v>
      </c>
      <c r="H210" s="18">
        <v>240</v>
      </c>
      <c r="I210" s="13" t="s">
        <v>21</v>
      </c>
      <c r="J210" s="13" t="s">
        <v>415</v>
      </c>
      <c r="K210" s="13"/>
      <c r="L210" s="17"/>
      <c r="M210" s="13" t="s">
        <v>416</v>
      </c>
      <c r="N210" s="17"/>
      <c r="O210" s="13" t="s">
        <v>417</v>
      </c>
      <c r="P210" s="13">
        <v>1</v>
      </c>
    </row>
    <row r="211" spans="1:16">
      <c r="A211" s="10">
        <v>208</v>
      </c>
      <c r="B211" s="13" t="s">
        <v>449</v>
      </c>
      <c r="C211" s="13" t="s">
        <v>450</v>
      </c>
      <c r="D211" s="13" t="str">
        <f t="shared" si="15"/>
        <v>513021********044X</v>
      </c>
      <c r="E211" s="13" t="str">
        <f t="shared" si="14"/>
        <v>女</v>
      </c>
      <c r="F211" s="17">
        <f ca="1" t="shared" si="13"/>
        <v>84</v>
      </c>
      <c r="G211" s="13" t="s">
        <v>20</v>
      </c>
      <c r="H211" s="18">
        <v>240</v>
      </c>
      <c r="I211" s="13" t="s">
        <v>21</v>
      </c>
      <c r="J211" s="13" t="s">
        <v>415</v>
      </c>
      <c r="K211" s="13"/>
      <c r="L211" s="17"/>
      <c r="M211" s="13" t="s">
        <v>416</v>
      </c>
      <c r="N211" s="17"/>
      <c r="O211" s="13" t="s">
        <v>417</v>
      </c>
      <c r="P211" s="13">
        <v>1</v>
      </c>
    </row>
    <row r="212" spans="1:16">
      <c r="A212" s="10">
        <v>209</v>
      </c>
      <c r="B212" s="13" t="s">
        <v>451</v>
      </c>
      <c r="C212" s="13" t="str">
        <f>"513021193910250470"</f>
        <v>513021193910250470</v>
      </c>
      <c r="D212" s="13" t="str">
        <f t="shared" si="15"/>
        <v>513021********0470</v>
      </c>
      <c r="E212" s="13" t="str">
        <f t="shared" si="14"/>
        <v>男</v>
      </c>
      <c r="F212" s="17">
        <f ca="1" t="shared" si="13"/>
        <v>85</v>
      </c>
      <c r="G212" s="13" t="s">
        <v>20</v>
      </c>
      <c r="H212" s="18">
        <v>240</v>
      </c>
      <c r="I212" s="13" t="s">
        <v>21</v>
      </c>
      <c r="J212" s="13" t="s">
        <v>415</v>
      </c>
      <c r="K212" s="13"/>
      <c r="L212" s="17"/>
      <c r="M212" s="13" t="s">
        <v>416</v>
      </c>
      <c r="N212" s="17"/>
      <c r="O212" s="13" t="s">
        <v>417</v>
      </c>
      <c r="P212" s="13">
        <v>1</v>
      </c>
    </row>
    <row r="213" spans="1:16">
      <c r="A213" s="10">
        <v>210</v>
      </c>
      <c r="B213" s="13" t="s">
        <v>452</v>
      </c>
      <c r="C213" s="13" t="str">
        <f>"513021194610050455"</f>
        <v>513021194610050455</v>
      </c>
      <c r="D213" s="13" t="str">
        <f t="shared" si="15"/>
        <v>513021********0455</v>
      </c>
      <c r="E213" s="13" t="str">
        <f t="shared" si="14"/>
        <v>男</v>
      </c>
      <c r="F213" s="17">
        <f ca="1" t="shared" si="13"/>
        <v>78</v>
      </c>
      <c r="G213" s="13" t="s">
        <v>20</v>
      </c>
      <c r="H213" s="18">
        <v>240</v>
      </c>
      <c r="I213" s="13" t="s">
        <v>21</v>
      </c>
      <c r="J213" s="13" t="s">
        <v>415</v>
      </c>
      <c r="K213" s="13"/>
      <c r="L213" s="17"/>
      <c r="M213" s="13" t="s">
        <v>416</v>
      </c>
      <c r="N213" s="17"/>
      <c r="O213" s="13" t="s">
        <v>417</v>
      </c>
      <c r="P213" s="13">
        <v>1</v>
      </c>
    </row>
    <row r="214" spans="1:16">
      <c r="A214" s="10">
        <v>211</v>
      </c>
      <c r="B214" s="13" t="s">
        <v>453</v>
      </c>
      <c r="C214" s="13" t="str">
        <f>"513021195111090465"</f>
        <v>513021195111090465</v>
      </c>
      <c r="D214" s="13" t="str">
        <f t="shared" si="15"/>
        <v>513021********0465</v>
      </c>
      <c r="E214" s="13" t="str">
        <f t="shared" si="14"/>
        <v>女</v>
      </c>
      <c r="F214" s="17">
        <f ca="1" t="shared" si="13"/>
        <v>73</v>
      </c>
      <c r="G214" s="13" t="s">
        <v>20</v>
      </c>
      <c r="H214" s="18">
        <v>240</v>
      </c>
      <c r="I214" s="13" t="s">
        <v>21</v>
      </c>
      <c r="J214" s="13" t="s">
        <v>415</v>
      </c>
      <c r="K214" s="13"/>
      <c r="L214" s="17"/>
      <c r="M214" s="13" t="s">
        <v>416</v>
      </c>
      <c r="N214" s="17"/>
      <c r="O214" s="13" t="s">
        <v>417</v>
      </c>
      <c r="P214" s="13">
        <v>1</v>
      </c>
    </row>
    <row r="215" ht="15.6" spans="1:16">
      <c r="A215" s="10">
        <v>212</v>
      </c>
      <c r="B215" s="29" t="s">
        <v>454</v>
      </c>
      <c r="C215" s="40" t="s">
        <v>455</v>
      </c>
      <c r="D215" s="13" t="str">
        <f t="shared" si="15"/>
        <v>513021********1671</v>
      </c>
      <c r="E215" s="13" t="s">
        <v>31</v>
      </c>
      <c r="F215" s="17">
        <f ca="1" t="shared" si="13"/>
        <v>58</v>
      </c>
      <c r="G215" s="13" t="s">
        <v>20</v>
      </c>
      <c r="H215" s="18">
        <v>220</v>
      </c>
      <c r="I215" s="13" t="s">
        <v>21</v>
      </c>
      <c r="J215" s="13" t="s">
        <v>415</v>
      </c>
      <c r="K215" s="13"/>
      <c r="L215" s="17"/>
      <c r="M215" s="13"/>
      <c r="N215" s="17"/>
      <c r="O215" s="13" t="s">
        <v>161</v>
      </c>
      <c r="P215" s="13">
        <v>1</v>
      </c>
    </row>
    <row r="216" spans="1:16">
      <c r="A216" s="10">
        <v>213</v>
      </c>
      <c r="B216" s="13" t="s">
        <v>456</v>
      </c>
      <c r="C216" s="13" t="str">
        <f>"513021194310160441"</f>
        <v>513021194310160441</v>
      </c>
      <c r="D216" s="13" t="str">
        <f t="shared" si="15"/>
        <v>513021********0441</v>
      </c>
      <c r="E216" s="13" t="str">
        <f>IF(MOD(MID(C216,17,1),2)=1,"男","女")</f>
        <v>女</v>
      </c>
      <c r="F216" s="17">
        <f ca="1" t="shared" si="13"/>
        <v>81</v>
      </c>
      <c r="G216" s="13" t="s">
        <v>20</v>
      </c>
      <c r="H216" s="18">
        <v>240</v>
      </c>
      <c r="I216" s="13" t="s">
        <v>21</v>
      </c>
      <c r="J216" s="13" t="s">
        <v>415</v>
      </c>
      <c r="K216" s="13"/>
      <c r="L216" s="17"/>
      <c r="M216" s="13" t="s">
        <v>416</v>
      </c>
      <c r="N216" s="17"/>
      <c r="O216" s="13" t="s">
        <v>417</v>
      </c>
      <c r="P216" s="13">
        <v>1</v>
      </c>
    </row>
    <row r="217" spans="1:16">
      <c r="A217" s="10">
        <v>214</v>
      </c>
      <c r="B217" s="13" t="s">
        <v>457</v>
      </c>
      <c r="C217" s="13" t="str">
        <f>"513021194106250474"</f>
        <v>513021194106250474</v>
      </c>
      <c r="D217" s="13" t="str">
        <f t="shared" si="15"/>
        <v>513021********0474</v>
      </c>
      <c r="E217" s="13" t="str">
        <f>IF(MOD(MID(C217,17,1),2)=1,"男","女")</f>
        <v>男</v>
      </c>
      <c r="F217" s="17">
        <f ca="1" t="shared" si="13"/>
        <v>83</v>
      </c>
      <c r="G217" s="13" t="s">
        <v>20</v>
      </c>
      <c r="H217" s="18">
        <v>220</v>
      </c>
      <c r="I217" s="13" t="s">
        <v>21</v>
      </c>
      <c r="J217" s="13" t="s">
        <v>415</v>
      </c>
      <c r="K217" s="13"/>
      <c r="L217" s="17"/>
      <c r="M217" s="13" t="s">
        <v>416</v>
      </c>
      <c r="N217" s="17" t="s">
        <v>34</v>
      </c>
      <c r="O217" s="13"/>
      <c r="P217" s="13">
        <v>2</v>
      </c>
    </row>
    <row r="218" ht="15.6" spans="1:16">
      <c r="A218" s="10">
        <v>215</v>
      </c>
      <c r="B218" s="34" t="s">
        <v>458</v>
      </c>
      <c r="C218" s="34" t="s">
        <v>459</v>
      </c>
      <c r="D218" s="13" t="str">
        <f t="shared" si="15"/>
        <v>513021********0449</v>
      </c>
      <c r="E218" s="13" t="str">
        <f>IF(MOD(MID(C218,17,1),2)=1,"男","女")</f>
        <v>女</v>
      </c>
      <c r="F218" s="17">
        <f ca="1" t="shared" si="13"/>
        <v>79</v>
      </c>
      <c r="G218" s="13" t="s">
        <v>37</v>
      </c>
      <c r="H218" s="20"/>
      <c r="I218" s="13" t="s">
        <v>21</v>
      </c>
      <c r="J218" s="13" t="s">
        <v>415</v>
      </c>
      <c r="K218" s="13"/>
      <c r="L218" s="17"/>
      <c r="M218" s="13" t="s">
        <v>416</v>
      </c>
      <c r="N218" s="17" t="s">
        <v>34</v>
      </c>
      <c r="O218" s="13"/>
      <c r="P218" s="13"/>
    </row>
    <row r="219" spans="1:16">
      <c r="A219" s="10">
        <v>216</v>
      </c>
      <c r="B219" s="13" t="s">
        <v>460</v>
      </c>
      <c r="C219" s="13" t="str">
        <f>"513021193807240442"</f>
        <v>513021193807240442</v>
      </c>
      <c r="D219" s="13" t="str">
        <f t="shared" si="15"/>
        <v>513021********0442</v>
      </c>
      <c r="E219" s="13" t="str">
        <f>IF(MOD(MID(C219,17,1),2)=1,"男","女")</f>
        <v>女</v>
      </c>
      <c r="F219" s="17">
        <f ca="1" t="shared" si="13"/>
        <v>86</v>
      </c>
      <c r="G219" s="13" t="s">
        <v>20</v>
      </c>
      <c r="H219" s="18">
        <v>240</v>
      </c>
      <c r="I219" s="13" t="s">
        <v>21</v>
      </c>
      <c r="J219" s="13" t="s">
        <v>415</v>
      </c>
      <c r="K219" s="13"/>
      <c r="L219" s="17"/>
      <c r="M219" s="13" t="s">
        <v>416</v>
      </c>
      <c r="N219" s="17"/>
      <c r="O219" s="13" t="s">
        <v>417</v>
      </c>
      <c r="P219" s="13">
        <v>1</v>
      </c>
    </row>
    <row r="220" spans="1:16">
      <c r="A220" s="10">
        <v>217</v>
      </c>
      <c r="B220" s="13" t="s">
        <v>461</v>
      </c>
      <c r="C220" s="43" t="s">
        <v>462</v>
      </c>
      <c r="D220" s="13" t="str">
        <f t="shared" si="15"/>
        <v>513021********0455</v>
      </c>
      <c r="E220" s="13" t="s">
        <v>31</v>
      </c>
      <c r="F220" s="17">
        <f ca="1" t="shared" si="13"/>
        <v>72</v>
      </c>
      <c r="G220" s="13" t="s">
        <v>20</v>
      </c>
      <c r="H220" s="18">
        <v>240</v>
      </c>
      <c r="I220" s="13" t="s">
        <v>21</v>
      </c>
      <c r="J220" s="13" t="s">
        <v>415</v>
      </c>
      <c r="K220" s="13"/>
      <c r="L220" s="17"/>
      <c r="M220" s="13"/>
      <c r="N220" s="17"/>
      <c r="O220" s="13" t="s">
        <v>164</v>
      </c>
      <c r="P220" s="13">
        <v>1</v>
      </c>
    </row>
    <row r="221" spans="1:16">
      <c r="A221" s="10">
        <v>218</v>
      </c>
      <c r="B221" s="13" t="s">
        <v>463</v>
      </c>
      <c r="C221" s="13" t="str">
        <f>"513021196509120446"</f>
        <v>513021196509120446</v>
      </c>
      <c r="D221" s="13" t="str">
        <f t="shared" si="15"/>
        <v>513021********0446</v>
      </c>
      <c r="E221" s="13" t="str">
        <f>IF(MOD(MID(C221,17,1),2)=1,"男","女")</f>
        <v>女</v>
      </c>
      <c r="F221" s="17">
        <f ca="1" t="shared" si="13"/>
        <v>59</v>
      </c>
      <c r="G221" s="13" t="s">
        <v>20</v>
      </c>
      <c r="H221" s="18">
        <v>240</v>
      </c>
      <c r="I221" s="13" t="s">
        <v>21</v>
      </c>
      <c r="J221" s="13" t="s">
        <v>415</v>
      </c>
      <c r="K221" s="13"/>
      <c r="L221" s="17"/>
      <c r="M221" s="13" t="s">
        <v>416</v>
      </c>
      <c r="N221" s="17"/>
      <c r="O221" s="13" t="s">
        <v>417</v>
      </c>
      <c r="P221" s="13">
        <v>1</v>
      </c>
    </row>
    <row r="222" spans="1:16">
      <c r="A222" s="10">
        <v>219</v>
      </c>
      <c r="B222" s="13" t="s">
        <v>464</v>
      </c>
      <c r="C222" s="13" t="str">
        <f>"513021196411260440"</f>
        <v>513021196411260440</v>
      </c>
      <c r="D222" s="13" t="str">
        <f t="shared" si="15"/>
        <v>513021********0440</v>
      </c>
      <c r="E222" s="13" t="str">
        <f>IF(MOD(MID(C222,17,1),2)=1,"男","女")</f>
        <v>女</v>
      </c>
      <c r="F222" s="17">
        <f ca="1" t="shared" si="13"/>
        <v>60</v>
      </c>
      <c r="G222" s="13" t="s">
        <v>20</v>
      </c>
      <c r="H222" s="18">
        <v>140</v>
      </c>
      <c r="I222" s="13" t="s">
        <v>21</v>
      </c>
      <c r="J222" s="13" t="s">
        <v>415</v>
      </c>
      <c r="K222" s="13"/>
      <c r="L222" s="17" t="str">
        <f>VLOOKUP(C222,[1]Sheet1!$B$2:$U$630,20,0)</f>
        <v>肢体一级;</v>
      </c>
      <c r="M222" s="13" t="s">
        <v>416</v>
      </c>
      <c r="N222" s="17" t="s">
        <v>34</v>
      </c>
      <c r="O222" s="13"/>
      <c r="P222" s="13">
        <v>1</v>
      </c>
    </row>
    <row r="223" spans="1:16">
      <c r="A223" s="10">
        <v>220</v>
      </c>
      <c r="B223" s="13" t="s">
        <v>465</v>
      </c>
      <c r="C223" s="13" t="str">
        <f>"513021194209070441"</f>
        <v>513021194209070441</v>
      </c>
      <c r="D223" s="13" t="str">
        <f t="shared" si="15"/>
        <v>513021********0441</v>
      </c>
      <c r="E223" s="13" t="str">
        <f t="shared" ref="E223:E236" si="16">IF(MOD(MID(C223,17,1),2)=1,"男","女")</f>
        <v>女</v>
      </c>
      <c r="F223" s="17">
        <f ca="1" t="shared" si="13"/>
        <v>82</v>
      </c>
      <c r="G223" s="13" t="s">
        <v>20</v>
      </c>
      <c r="H223" s="18">
        <v>240</v>
      </c>
      <c r="I223" s="13" t="s">
        <v>21</v>
      </c>
      <c r="J223" s="13" t="s">
        <v>415</v>
      </c>
      <c r="K223" s="13"/>
      <c r="L223" s="17"/>
      <c r="M223" s="13" t="s">
        <v>416</v>
      </c>
      <c r="N223" s="17"/>
      <c r="O223" s="13" t="s">
        <v>417</v>
      </c>
      <c r="P223" s="13">
        <v>1</v>
      </c>
    </row>
    <row r="224" spans="1:16">
      <c r="A224" s="10">
        <v>221</v>
      </c>
      <c r="B224" s="13" t="s">
        <v>466</v>
      </c>
      <c r="C224" s="13" t="str">
        <f>"513021195312230698"</f>
        <v>513021195312230698</v>
      </c>
      <c r="D224" s="13" t="str">
        <f t="shared" si="15"/>
        <v>513021********0698</v>
      </c>
      <c r="E224" s="13" t="str">
        <f t="shared" si="16"/>
        <v>男</v>
      </c>
      <c r="F224" s="17">
        <f ca="1" t="shared" si="13"/>
        <v>71</v>
      </c>
      <c r="G224" s="13" t="s">
        <v>20</v>
      </c>
      <c r="H224" s="18">
        <v>240</v>
      </c>
      <c r="I224" s="13" t="s">
        <v>21</v>
      </c>
      <c r="J224" s="13" t="s">
        <v>415</v>
      </c>
      <c r="K224" s="13"/>
      <c r="L224" s="17"/>
      <c r="M224" s="13" t="s">
        <v>416</v>
      </c>
      <c r="N224" s="17" t="s">
        <v>34</v>
      </c>
      <c r="O224" s="13"/>
      <c r="P224" s="13">
        <v>2</v>
      </c>
    </row>
    <row r="225" ht="15.6" spans="1:16">
      <c r="A225" s="10">
        <v>222</v>
      </c>
      <c r="B225" s="34" t="s">
        <v>467</v>
      </c>
      <c r="C225" s="34" t="s">
        <v>468</v>
      </c>
      <c r="D225" s="13" t="str">
        <f t="shared" si="15"/>
        <v>511721********5588</v>
      </c>
      <c r="E225" s="13" t="str">
        <f t="shared" si="16"/>
        <v>女</v>
      </c>
      <c r="F225" s="17">
        <f ca="1" t="shared" si="13"/>
        <v>23</v>
      </c>
      <c r="G225" s="13" t="s">
        <v>469</v>
      </c>
      <c r="H225" s="20"/>
      <c r="I225" s="13" t="s">
        <v>21</v>
      </c>
      <c r="J225" s="13" t="s">
        <v>415</v>
      </c>
      <c r="K225" s="13"/>
      <c r="L225" s="17"/>
      <c r="M225" s="13" t="s">
        <v>416</v>
      </c>
      <c r="N225" s="17" t="s">
        <v>34</v>
      </c>
      <c r="O225" s="13"/>
      <c r="P225" s="13"/>
    </row>
    <row r="226" spans="1:16">
      <c r="A226" s="10">
        <v>223</v>
      </c>
      <c r="B226" s="13" t="s">
        <v>470</v>
      </c>
      <c r="C226" s="13" t="s">
        <v>471</v>
      </c>
      <c r="D226" s="13" t="str">
        <f t="shared" si="15"/>
        <v>513021********045X</v>
      </c>
      <c r="E226" s="13" t="str">
        <f t="shared" si="16"/>
        <v>男</v>
      </c>
      <c r="F226" s="17">
        <f ca="1" t="shared" si="13"/>
        <v>70</v>
      </c>
      <c r="G226" s="13" t="s">
        <v>20</v>
      </c>
      <c r="H226" s="18">
        <v>240</v>
      </c>
      <c r="I226" s="13" t="s">
        <v>21</v>
      </c>
      <c r="J226" s="13" t="s">
        <v>415</v>
      </c>
      <c r="K226" s="13"/>
      <c r="L226" s="17"/>
      <c r="M226" s="13" t="s">
        <v>416</v>
      </c>
      <c r="N226" s="17"/>
      <c r="O226" s="13" t="s">
        <v>417</v>
      </c>
      <c r="P226" s="13">
        <v>1</v>
      </c>
    </row>
    <row r="227" spans="1:16">
      <c r="A227" s="10">
        <v>224</v>
      </c>
      <c r="B227" s="13" t="s">
        <v>472</v>
      </c>
      <c r="C227" s="13" t="str">
        <f>"513021197904080469"</f>
        <v>513021197904080469</v>
      </c>
      <c r="D227" s="13" t="str">
        <f t="shared" si="15"/>
        <v>513021********0469</v>
      </c>
      <c r="E227" s="13" t="str">
        <f t="shared" si="16"/>
        <v>女</v>
      </c>
      <c r="F227" s="17">
        <f ca="1" t="shared" si="13"/>
        <v>45</v>
      </c>
      <c r="G227" s="13" t="s">
        <v>20</v>
      </c>
      <c r="H227" s="18">
        <v>480</v>
      </c>
      <c r="I227" s="13" t="s">
        <v>21</v>
      </c>
      <c r="J227" s="13" t="s">
        <v>415</v>
      </c>
      <c r="K227" s="13"/>
      <c r="L227" s="17" t="str">
        <f>VLOOKUP(C227,[1]Sheet1!$B$2:$U$630,20,0)</f>
        <v>精神三级;</v>
      </c>
      <c r="M227" s="13" t="s">
        <v>416</v>
      </c>
      <c r="N227" s="17" t="s">
        <v>34</v>
      </c>
      <c r="O227" s="13"/>
      <c r="P227" s="13">
        <v>2</v>
      </c>
    </row>
    <row r="228" ht="15.6" spans="1:16">
      <c r="A228" s="10">
        <v>225</v>
      </c>
      <c r="B228" s="34" t="s">
        <v>473</v>
      </c>
      <c r="C228" s="34" t="s">
        <v>474</v>
      </c>
      <c r="D228" s="13" t="str">
        <f t="shared" si="15"/>
        <v>511721********5727</v>
      </c>
      <c r="E228" s="13" t="str">
        <f t="shared" si="16"/>
        <v>女</v>
      </c>
      <c r="F228" s="17">
        <f ca="1" t="shared" si="13"/>
        <v>20</v>
      </c>
      <c r="G228" s="13" t="s">
        <v>475</v>
      </c>
      <c r="H228" s="20"/>
      <c r="I228" s="13" t="s">
        <v>21</v>
      </c>
      <c r="J228" s="13" t="s">
        <v>415</v>
      </c>
      <c r="K228" s="13"/>
      <c r="L228" s="17"/>
      <c r="M228" s="13" t="s">
        <v>416</v>
      </c>
      <c r="N228" s="17" t="s">
        <v>34</v>
      </c>
      <c r="O228" s="13"/>
      <c r="P228" s="13"/>
    </row>
    <row r="229" spans="1:16">
      <c r="A229" s="10">
        <v>226</v>
      </c>
      <c r="B229" s="13" t="s">
        <v>476</v>
      </c>
      <c r="C229" s="13" t="str">
        <f>"513021198503030625"</f>
        <v>513021198503030625</v>
      </c>
      <c r="D229" s="13" t="str">
        <f t="shared" si="15"/>
        <v>513021********0625</v>
      </c>
      <c r="E229" s="13" t="str">
        <f t="shared" si="16"/>
        <v>女</v>
      </c>
      <c r="F229" s="17">
        <f ca="1" t="shared" si="13"/>
        <v>39</v>
      </c>
      <c r="G229" s="13" t="s">
        <v>20</v>
      </c>
      <c r="H229" s="18">
        <v>220</v>
      </c>
      <c r="I229" s="13" t="s">
        <v>21</v>
      </c>
      <c r="J229" s="13" t="s">
        <v>415</v>
      </c>
      <c r="K229" s="13"/>
      <c r="L229" s="17" t="str">
        <f>VLOOKUP(C229,[1]Sheet1!$B$2:$U$630,20,0)</f>
        <v>精神二级;</v>
      </c>
      <c r="M229" s="13" t="s">
        <v>416</v>
      </c>
      <c r="N229" s="17" t="s">
        <v>34</v>
      </c>
      <c r="O229" s="13"/>
      <c r="P229" s="13">
        <v>3</v>
      </c>
    </row>
    <row r="230" ht="15.6" spans="1:16">
      <c r="A230" s="10">
        <v>227</v>
      </c>
      <c r="B230" s="34" t="s">
        <v>477</v>
      </c>
      <c r="C230" s="34" t="s">
        <v>478</v>
      </c>
      <c r="D230" s="13" t="str">
        <f t="shared" si="15"/>
        <v>513021********0458</v>
      </c>
      <c r="E230" s="13" t="str">
        <f t="shared" si="16"/>
        <v>男</v>
      </c>
      <c r="F230" s="17">
        <f ca="1" t="shared" si="13"/>
        <v>43</v>
      </c>
      <c r="G230" s="13" t="s">
        <v>37</v>
      </c>
      <c r="H230" s="20"/>
      <c r="I230" s="13" t="s">
        <v>21</v>
      </c>
      <c r="J230" s="13" t="s">
        <v>415</v>
      </c>
      <c r="K230" s="13"/>
      <c r="L230" s="17"/>
      <c r="M230" s="13" t="s">
        <v>416</v>
      </c>
      <c r="N230" s="17" t="s">
        <v>34</v>
      </c>
      <c r="O230" s="13"/>
      <c r="P230" s="13"/>
    </row>
    <row r="231" ht="15.6" spans="1:16">
      <c r="A231" s="10">
        <v>228</v>
      </c>
      <c r="B231" s="34" t="s">
        <v>479</v>
      </c>
      <c r="C231" s="34" t="s">
        <v>480</v>
      </c>
      <c r="D231" s="13" t="str">
        <f t="shared" si="15"/>
        <v>511721********5770</v>
      </c>
      <c r="E231" s="13" t="str">
        <f t="shared" si="16"/>
        <v>男</v>
      </c>
      <c r="F231" s="17">
        <f ca="1" t="shared" si="13"/>
        <v>14</v>
      </c>
      <c r="G231" s="13" t="s">
        <v>429</v>
      </c>
      <c r="H231" s="20"/>
      <c r="I231" s="13" t="s">
        <v>21</v>
      </c>
      <c r="J231" s="13" t="s">
        <v>415</v>
      </c>
      <c r="K231" s="13"/>
      <c r="L231" s="17"/>
      <c r="M231" s="13" t="s">
        <v>416</v>
      </c>
      <c r="N231" s="17" t="s">
        <v>34</v>
      </c>
      <c r="O231" s="13"/>
      <c r="P231" s="13"/>
    </row>
    <row r="232" ht="15.6" spans="1:16">
      <c r="A232" s="10">
        <v>229</v>
      </c>
      <c r="B232" s="34" t="s">
        <v>481</v>
      </c>
      <c r="C232" s="44" t="s">
        <v>482</v>
      </c>
      <c r="D232" s="13" t="str">
        <f t="shared" si="15"/>
        <v>513021********0455</v>
      </c>
      <c r="E232" s="13" t="s">
        <v>31</v>
      </c>
      <c r="F232" s="17">
        <f ca="1" t="shared" si="13"/>
        <v>54</v>
      </c>
      <c r="G232" s="13" t="s">
        <v>20</v>
      </c>
      <c r="H232" s="18">
        <v>240</v>
      </c>
      <c r="I232" s="13" t="s">
        <v>21</v>
      </c>
      <c r="J232" s="13" t="s">
        <v>415</v>
      </c>
      <c r="K232" s="13"/>
      <c r="L232" s="17"/>
      <c r="M232" s="13"/>
      <c r="N232" s="17"/>
      <c r="O232" s="13"/>
      <c r="P232" s="13">
        <v>1</v>
      </c>
    </row>
    <row r="233" spans="1:16">
      <c r="A233" s="10">
        <v>230</v>
      </c>
      <c r="B233" s="13" t="s">
        <v>483</v>
      </c>
      <c r="C233" s="13" t="str">
        <f>"513021195212230455"</f>
        <v>513021195212230455</v>
      </c>
      <c r="D233" s="13" t="str">
        <f t="shared" si="15"/>
        <v>513021********0455</v>
      </c>
      <c r="E233" s="13" t="str">
        <f>IF(MOD(MID(C233,17,1),2)=1,"男","女")</f>
        <v>男</v>
      </c>
      <c r="F233" s="17">
        <f ca="1" t="shared" si="13"/>
        <v>72</v>
      </c>
      <c r="G233" s="13" t="s">
        <v>20</v>
      </c>
      <c r="H233" s="18">
        <v>240</v>
      </c>
      <c r="I233" s="13" t="s">
        <v>21</v>
      </c>
      <c r="J233" s="13" t="s">
        <v>415</v>
      </c>
      <c r="K233" s="13"/>
      <c r="L233" s="17"/>
      <c r="M233" s="13" t="s">
        <v>416</v>
      </c>
      <c r="N233" s="17"/>
      <c r="O233" s="13" t="s">
        <v>417</v>
      </c>
      <c r="P233" s="13">
        <v>1</v>
      </c>
    </row>
    <row r="234" spans="1:16">
      <c r="A234" s="10">
        <v>231</v>
      </c>
      <c r="B234" s="13" t="s">
        <v>484</v>
      </c>
      <c r="C234" s="13" t="str">
        <f>"513021195105010449"</f>
        <v>513021195105010449</v>
      </c>
      <c r="D234" s="13" t="str">
        <f t="shared" si="15"/>
        <v>513021********0449</v>
      </c>
      <c r="E234" s="13" t="str">
        <f>IF(MOD(MID(C234,17,1),2)=1,"男","女")</f>
        <v>女</v>
      </c>
      <c r="F234" s="17">
        <f ca="1" t="shared" si="13"/>
        <v>73</v>
      </c>
      <c r="G234" s="13" t="s">
        <v>20</v>
      </c>
      <c r="H234" s="18">
        <v>240</v>
      </c>
      <c r="I234" s="13" t="s">
        <v>21</v>
      </c>
      <c r="J234" s="13" t="s">
        <v>415</v>
      </c>
      <c r="K234" s="13"/>
      <c r="L234" s="17"/>
      <c r="M234" s="13" t="s">
        <v>416</v>
      </c>
      <c r="N234" s="17" t="s">
        <v>34</v>
      </c>
      <c r="O234" s="13" t="s">
        <v>417</v>
      </c>
      <c r="P234" s="13">
        <v>1</v>
      </c>
    </row>
    <row r="235" spans="1:16">
      <c r="A235" s="10">
        <v>232</v>
      </c>
      <c r="B235" s="13" t="s">
        <v>485</v>
      </c>
      <c r="C235" s="13" t="str">
        <f>"513021192903220455"</f>
        <v>513021192903220455</v>
      </c>
      <c r="D235" s="13" t="str">
        <f t="shared" si="15"/>
        <v>513021********0455</v>
      </c>
      <c r="E235" s="13" t="str">
        <f>IF(MOD(MID(C235,17,1),2)=1,"男","女")</f>
        <v>男</v>
      </c>
      <c r="F235" s="17">
        <f ca="1" t="shared" si="13"/>
        <v>95</v>
      </c>
      <c r="G235" s="13" t="s">
        <v>20</v>
      </c>
      <c r="H235" s="18">
        <v>240</v>
      </c>
      <c r="I235" s="13" t="s">
        <v>21</v>
      </c>
      <c r="J235" s="13" t="s">
        <v>415</v>
      </c>
      <c r="K235" s="13"/>
      <c r="L235" s="17"/>
      <c r="M235" s="13" t="s">
        <v>416</v>
      </c>
      <c r="N235" s="17"/>
      <c r="O235" s="13" t="s">
        <v>417</v>
      </c>
      <c r="P235" s="13">
        <v>1</v>
      </c>
    </row>
    <row r="236" spans="1:16">
      <c r="A236" s="10">
        <v>233</v>
      </c>
      <c r="B236" s="13" t="s">
        <v>486</v>
      </c>
      <c r="C236" s="13" t="s">
        <v>487</v>
      </c>
      <c r="D236" s="13" t="str">
        <f t="shared" si="15"/>
        <v>513021********045X</v>
      </c>
      <c r="E236" s="13" t="str">
        <f>IF(MOD(MID(C236,17,1),2)=1,"男","女")</f>
        <v>男</v>
      </c>
      <c r="F236" s="17">
        <f ca="1" t="shared" si="13"/>
        <v>25</v>
      </c>
      <c r="G236" s="13" t="s">
        <v>20</v>
      </c>
      <c r="H236" s="18">
        <v>260</v>
      </c>
      <c r="I236" s="13" t="s">
        <v>21</v>
      </c>
      <c r="J236" s="13" t="s">
        <v>415</v>
      </c>
      <c r="K236" s="13"/>
      <c r="L236" s="17" t="str">
        <f>VLOOKUP(C236,[1]Sheet1!$B$2:$U$630,20,0)</f>
        <v>精神二级;</v>
      </c>
      <c r="M236" s="13" t="s">
        <v>416</v>
      </c>
      <c r="N236" s="17" t="s">
        <v>34</v>
      </c>
      <c r="O236" s="13"/>
      <c r="P236" s="13">
        <v>3</v>
      </c>
    </row>
    <row r="237" ht="15.6" spans="1:16">
      <c r="A237" s="10">
        <v>234</v>
      </c>
      <c r="B237" s="34" t="s">
        <v>488</v>
      </c>
      <c r="C237" s="34" t="s">
        <v>489</v>
      </c>
      <c r="D237" s="13" t="str">
        <f t="shared" si="15"/>
        <v>513021********0456</v>
      </c>
      <c r="E237" s="13" t="str">
        <f>IF(MOD(MID(C237,17,1),2)=1,"男","女")</f>
        <v>男</v>
      </c>
      <c r="F237" s="17">
        <f ca="1" t="shared" si="13"/>
        <v>55</v>
      </c>
      <c r="G237" s="13" t="s">
        <v>429</v>
      </c>
      <c r="H237" s="20"/>
      <c r="I237" s="13" t="s">
        <v>21</v>
      </c>
      <c r="J237" s="13" t="s">
        <v>415</v>
      </c>
      <c r="K237" s="13"/>
      <c r="L237" s="17"/>
      <c r="M237" s="13" t="s">
        <v>416</v>
      </c>
      <c r="N237" s="17"/>
      <c r="O237" s="13"/>
      <c r="P237" s="13"/>
    </row>
    <row r="238" ht="15.6" spans="1:16">
      <c r="A238" s="10">
        <v>235</v>
      </c>
      <c r="B238" s="34" t="s">
        <v>490</v>
      </c>
      <c r="C238" s="34" t="s">
        <v>491</v>
      </c>
      <c r="D238" s="13" t="str">
        <f t="shared" si="15"/>
        <v>511721********571X</v>
      </c>
      <c r="E238" s="13" t="str">
        <f t="shared" ref="E238:E257" si="17">IF(MOD(MID(C238,17,1),2)=1,"男","女")</f>
        <v>男</v>
      </c>
      <c r="F238" s="17">
        <f ca="1" t="shared" ref="F238:F265" si="18">YEAR(TODAY())-MID(C238,7,4)</f>
        <v>18</v>
      </c>
      <c r="G238" s="13" t="s">
        <v>492</v>
      </c>
      <c r="H238" s="20"/>
      <c r="I238" s="13" t="s">
        <v>21</v>
      </c>
      <c r="J238" s="13" t="s">
        <v>415</v>
      </c>
      <c r="K238" s="13"/>
      <c r="L238" s="17"/>
      <c r="M238" s="13" t="s">
        <v>416</v>
      </c>
      <c r="N238" s="17" t="s">
        <v>34</v>
      </c>
      <c r="O238" s="13"/>
      <c r="P238" s="13"/>
    </row>
    <row r="239" spans="1:16">
      <c r="A239" s="10">
        <v>236</v>
      </c>
      <c r="B239" s="13" t="s">
        <v>493</v>
      </c>
      <c r="C239" s="13" t="str">
        <f>"513021194002120456"</f>
        <v>513021194002120456</v>
      </c>
      <c r="D239" s="13" t="str">
        <f t="shared" si="15"/>
        <v>513021********0456</v>
      </c>
      <c r="E239" s="13" t="str">
        <f t="shared" si="17"/>
        <v>男</v>
      </c>
      <c r="F239" s="17">
        <f ca="1" t="shared" si="18"/>
        <v>84</v>
      </c>
      <c r="G239" s="13" t="s">
        <v>20</v>
      </c>
      <c r="H239" s="18">
        <v>240</v>
      </c>
      <c r="I239" s="13" t="s">
        <v>21</v>
      </c>
      <c r="J239" s="13" t="s">
        <v>415</v>
      </c>
      <c r="K239" s="13"/>
      <c r="L239" s="17" t="str">
        <f>VLOOKUP(C239,[1]Sheet1!$B$2:$U$630,20,0)</f>
        <v>肢体三级;</v>
      </c>
      <c r="M239" s="13" t="s">
        <v>416</v>
      </c>
      <c r="N239" s="17"/>
      <c r="O239" s="13" t="s">
        <v>417</v>
      </c>
      <c r="P239" s="13">
        <v>1</v>
      </c>
    </row>
    <row r="240" spans="1:16">
      <c r="A240" s="10">
        <v>237</v>
      </c>
      <c r="B240" s="13" t="s">
        <v>494</v>
      </c>
      <c r="C240" s="13" t="str">
        <f>"513021193210190454"</f>
        <v>513021193210190454</v>
      </c>
      <c r="D240" s="13" t="str">
        <f t="shared" si="15"/>
        <v>513021********0454</v>
      </c>
      <c r="E240" s="13" t="str">
        <f t="shared" si="17"/>
        <v>男</v>
      </c>
      <c r="F240" s="17">
        <f ca="1" t="shared" si="18"/>
        <v>92</v>
      </c>
      <c r="G240" s="13" t="s">
        <v>20</v>
      </c>
      <c r="H240" s="18">
        <v>240</v>
      </c>
      <c r="I240" s="13" t="s">
        <v>21</v>
      </c>
      <c r="J240" s="13" t="s">
        <v>415</v>
      </c>
      <c r="K240" s="13"/>
      <c r="L240" s="17"/>
      <c r="M240" s="13" t="s">
        <v>416</v>
      </c>
      <c r="N240" s="17"/>
      <c r="O240" s="13" t="s">
        <v>417</v>
      </c>
      <c r="P240" s="13">
        <v>1</v>
      </c>
    </row>
    <row r="241" spans="1:16">
      <c r="A241" s="10">
        <v>238</v>
      </c>
      <c r="B241" s="13" t="s">
        <v>495</v>
      </c>
      <c r="C241" s="13" t="str">
        <f>"513021193611050444"</f>
        <v>513021193611050444</v>
      </c>
      <c r="D241" s="13" t="str">
        <f t="shared" si="15"/>
        <v>513021********0444</v>
      </c>
      <c r="E241" s="13" t="str">
        <f t="shared" si="17"/>
        <v>女</v>
      </c>
      <c r="F241" s="17">
        <f ca="1" t="shared" si="18"/>
        <v>88</v>
      </c>
      <c r="G241" s="13" t="s">
        <v>20</v>
      </c>
      <c r="H241" s="18">
        <v>240</v>
      </c>
      <c r="I241" s="13" t="s">
        <v>21</v>
      </c>
      <c r="J241" s="13" t="s">
        <v>415</v>
      </c>
      <c r="K241" s="13"/>
      <c r="L241" s="17"/>
      <c r="M241" s="13" t="s">
        <v>416</v>
      </c>
      <c r="N241" s="17"/>
      <c r="O241" s="13" t="s">
        <v>417</v>
      </c>
      <c r="P241" s="13">
        <v>1</v>
      </c>
    </row>
    <row r="242" spans="1:16">
      <c r="A242" s="10">
        <v>239</v>
      </c>
      <c r="B242" s="13" t="s">
        <v>496</v>
      </c>
      <c r="C242" s="13" t="str">
        <f>"513021197409030456"</f>
        <v>513021197409030456</v>
      </c>
      <c r="D242" s="13" t="str">
        <f t="shared" si="15"/>
        <v>513021********0456</v>
      </c>
      <c r="E242" s="13" t="str">
        <f t="shared" si="17"/>
        <v>男</v>
      </c>
      <c r="F242" s="17">
        <f ca="1" t="shared" si="18"/>
        <v>50</v>
      </c>
      <c r="G242" s="13" t="s">
        <v>20</v>
      </c>
      <c r="H242" s="18">
        <v>440</v>
      </c>
      <c r="I242" s="13" t="s">
        <v>21</v>
      </c>
      <c r="J242" s="13" t="s">
        <v>415</v>
      </c>
      <c r="K242" s="13"/>
      <c r="L242" s="17" t="str">
        <f>VLOOKUP(C242,[1]Sheet1!$B$2:$U$630,20,0)</f>
        <v>肢体三级;</v>
      </c>
      <c r="M242" s="13" t="s">
        <v>416</v>
      </c>
      <c r="N242" s="17" t="s">
        <v>34</v>
      </c>
      <c r="O242" s="13"/>
      <c r="P242" s="13">
        <v>4</v>
      </c>
    </row>
    <row r="243" ht="15.6" spans="1:16">
      <c r="A243" s="10">
        <v>240</v>
      </c>
      <c r="B243" s="34" t="s">
        <v>497</v>
      </c>
      <c r="C243" s="34" t="s">
        <v>498</v>
      </c>
      <c r="D243" s="13" t="str">
        <f t="shared" si="15"/>
        <v>513021********0465</v>
      </c>
      <c r="E243" s="13" t="str">
        <f t="shared" si="17"/>
        <v>女</v>
      </c>
      <c r="F243" s="17">
        <f ca="1" t="shared" si="18"/>
        <v>45</v>
      </c>
      <c r="G243" s="13" t="s">
        <v>37</v>
      </c>
      <c r="H243" s="20"/>
      <c r="I243" s="13" t="s">
        <v>21</v>
      </c>
      <c r="J243" s="13" t="s">
        <v>415</v>
      </c>
      <c r="K243" s="13"/>
      <c r="L243" s="17"/>
      <c r="M243" s="13" t="s">
        <v>416</v>
      </c>
      <c r="N243" s="17" t="s">
        <v>34</v>
      </c>
      <c r="O243" s="13"/>
      <c r="P243" s="13"/>
    </row>
    <row r="244" ht="15.6" spans="1:16">
      <c r="A244" s="10">
        <v>241</v>
      </c>
      <c r="B244" s="34" t="s">
        <v>499</v>
      </c>
      <c r="C244" s="34" t="s">
        <v>500</v>
      </c>
      <c r="D244" s="13" t="str">
        <f t="shared" si="15"/>
        <v>511721********5711</v>
      </c>
      <c r="E244" s="13" t="str">
        <f t="shared" si="17"/>
        <v>男</v>
      </c>
      <c r="F244" s="17">
        <f ca="1" t="shared" si="18"/>
        <v>16</v>
      </c>
      <c r="G244" s="13" t="s">
        <v>429</v>
      </c>
      <c r="H244" s="20"/>
      <c r="I244" s="13" t="s">
        <v>21</v>
      </c>
      <c r="J244" s="13" t="s">
        <v>415</v>
      </c>
      <c r="K244" s="13"/>
      <c r="L244" s="17" t="str">
        <f>VLOOKUP(C244,[1]Sheet1!$B$2:$U$630,20,0)</f>
        <v>肢体三级;</v>
      </c>
      <c r="M244" s="13" t="s">
        <v>416</v>
      </c>
      <c r="N244" s="17" t="s">
        <v>34</v>
      </c>
      <c r="O244" s="13"/>
      <c r="P244" s="13"/>
    </row>
    <row r="245" ht="15.6" spans="1:16">
      <c r="A245" s="10">
        <v>242</v>
      </c>
      <c r="B245" s="34" t="s">
        <v>501</v>
      </c>
      <c r="C245" s="34" t="s">
        <v>502</v>
      </c>
      <c r="D245" s="13" t="str">
        <f t="shared" si="15"/>
        <v>513021********0454</v>
      </c>
      <c r="E245" s="13" t="str">
        <f t="shared" si="17"/>
        <v>男</v>
      </c>
      <c r="F245" s="17">
        <f ca="1" t="shared" si="18"/>
        <v>25</v>
      </c>
      <c r="G245" s="13" t="s">
        <v>429</v>
      </c>
      <c r="H245" s="20"/>
      <c r="I245" s="13" t="s">
        <v>21</v>
      </c>
      <c r="J245" s="13" t="s">
        <v>415</v>
      </c>
      <c r="K245" s="13"/>
      <c r="L245" s="17"/>
      <c r="M245" s="13" t="s">
        <v>416</v>
      </c>
      <c r="N245" s="17" t="s">
        <v>34</v>
      </c>
      <c r="O245" s="13"/>
      <c r="P245" s="13"/>
    </row>
    <row r="246" spans="1:16">
      <c r="A246" s="10">
        <v>243</v>
      </c>
      <c r="B246" s="13" t="s">
        <v>503</v>
      </c>
      <c r="C246" s="13" t="str">
        <f>"513021195212020458"</f>
        <v>513021195212020458</v>
      </c>
      <c r="D246" s="13" t="str">
        <f t="shared" si="15"/>
        <v>513021********0458</v>
      </c>
      <c r="E246" s="13" t="str">
        <f t="shared" si="17"/>
        <v>男</v>
      </c>
      <c r="F246" s="17">
        <f ca="1" t="shared" si="18"/>
        <v>72</v>
      </c>
      <c r="G246" s="13" t="s">
        <v>20</v>
      </c>
      <c r="H246" s="18">
        <v>240</v>
      </c>
      <c r="I246" s="13" t="s">
        <v>21</v>
      </c>
      <c r="J246" s="13" t="s">
        <v>415</v>
      </c>
      <c r="K246" s="13"/>
      <c r="L246" s="17"/>
      <c r="M246" s="13" t="s">
        <v>416</v>
      </c>
      <c r="N246" s="17"/>
      <c r="O246" s="13" t="s">
        <v>417</v>
      </c>
      <c r="P246" s="13">
        <v>1</v>
      </c>
    </row>
    <row r="247" spans="1:16">
      <c r="A247" s="10">
        <v>244</v>
      </c>
      <c r="B247" s="13" t="s">
        <v>504</v>
      </c>
      <c r="C247" s="13" t="str">
        <f>"513021194301220449"</f>
        <v>513021194301220449</v>
      </c>
      <c r="D247" s="13" t="str">
        <f t="shared" si="15"/>
        <v>513021********0449</v>
      </c>
      <c r="E247" s="13" t="str">
        <f t="shared" si="17"/>
        <v>女</v>
      </c>
      <c r="F247" s="17">
        <f ca="1" t="shared" si="18"/>
        <v>81</v>
      </c>
      <c r="G247" s="13" t="s">
        <v>20</v>
      </c>
      <c r="H247" s="18">
        <v>240</v>
      </c>
      <c r="I247" s="13" t="s">
        <v>21</v>
      </c>
      <c r="J247" s="13" t="s">
        <v>415</v>
      </c>
      <c r="K247" s="13"/>
      <c r="L247" s="17"/>
      <c r="M247" s="13" t="s">
        <v>416</v>
      </c>
      <c r="N247" s="17"/>
      <c r="O247" s="13" t="s">
        <v>417</v>
      </c>
      <c r="P247" s="13">
        <v>1</v>
      </c>
    </row>
    <row r="248" spans="1:16">
      <c r="A248" s="10">
        <v>245</v>
      </c>
      <c r="B248" s="13" t="s">
        <v>420</v>
      </c>
      <c r="C248" s="13" t="str">
        <f>"513021194902010455"</f>
        <v>513021194902010455</v>
      </c>
      <c r="D248" s="13" t="str">
        <f t="shared" si="15"/>
        <v>513021********0455</v>
      </c>
      <c r="E248" s="13" t="str">
        <f t="shared" si="17"/>
        <v>男</v>
      </c>
      <c r="F248" s="17">
        <f ca="1" t="shared" si="18"/>
        <v>75</v>
      </c>
      <c r="G248" s="13" t="s">
        <v>20</v>
      </c>
      <c r="H248" s="18">
        <v>240</v>
      </c>
      <c r="I248" s="13" t="s">
        <v>21</v>
      </c>
      <c r="J248" s="13" t="s">
        <v>415</v>
      </c>
      <c r="K248" s="13"/>
      <c r="L248" s="17"/>
      <c r="M248" s="17" t="s">
        <v>278</v>
      </c>
      <c r="N248" s="17"/>
      <c r="O248" s="13" t="s">
        <v>417</v>
      </c>
      <c r="P248" s="13">
        <v>1</v>
      </c>
    </row>
    <row r="249" spans="1:16">
      <c r="A249" s="10">
        <v>246</v>
      </c>
      <c r="B249" s="13" t="s">
        <v>505</v>
      </c>
      <c r="C249" s="13" t="str">
        <f>"513021197304151163"</f>
        <v>513021197304151163</v>
      </c>
      <c r="D249" s="13" t="str">
        <f t="shared" si="15"/>
        <v>513021********1163</v>
      </c>
      <c r="E249" s="13" t="str">
        <f t="shared" si="17"/>
        <v>女</v>
      </c>
      <c r="F249" s="17">
        <f ca="1" t="shared" si="18"/>
        <v>51</v>
      </c>
      <c r="G249" s="13" t="s">
        <v>20</v>
      </c>
      <c r="H249" s="18">
        <v>440</v>
      </c>
      <c r="I249" s="13" t="s">
        <v>21</v>
      </c>
      <c r="J249" s="13" t="s">
        <v>415</v>
      </c>
      <c r="K249" s="13"/>
      <c r="L249" s="17"/>
      <c r="M249" s="13" t="s">
        <v>416</v>
      </c>
      <c r="N249" s="17" t="s">
        <v>34</v>
      </c>
      <c r="O249" s="13"/>
      <c r="P249" s="13">
        <v>4</v>
      </c>
    </row>
    <row r="250" ht="15.6" spans="1:16">
      <c r="A250" s="10">
        <v>247</v>
      </c>
      <c r="B250" s="34" t="s">
        <v>506</v>
      </c>
      <c r="C250" s="34" t="s">
        <v>507</v>
      </c>
      <c r="D250" s="13" t="str">
        <f t="shared" si="15"/>
        <v>513021********045X</v>
      </c>
      <c r="E250" s="13" t="str">
        <f t="shared" si="17"/>
        <v>男</v>
      </c>
      <c r="F250" s="17">
        <f ca="1" t="shared" si="18"/>
        <v>49</v>
      </c>
      <c r="G250" s="13" t="s">
        <v>37</v>
      </c>
      <c r="H250" s="20"/>
      <c r="I250" s="13" t="s">
        <v>21</v>
      </c>
      <c r="J250" s="13" t="s">
        <v>415</v>
      </c>
      <c r="K250" s="13"/>
      <c r="L250" s="17"/>
      <c r="M250" s="13" t="s">
        <v>416</v>
      </c>
      <c r="N250" s="17" t="s">
        <v>34</v>
      </c>
      <c r="O250" s="13"/>
      <c r="P250" s="13"/>
    </row>
    <row r="251" ht="15.6" spans="1:16">
      <c r="A251" s="10">
        <v>248</v>
      </c>
      <c r="B251" s="34" t="s">
        <v>508</v>
      </c>
      <c r="C251" s="34" t="s">
        <v>509</v>
      </c>
      <c r="D251" s="13" t="str">
        <f t="shared" si="15"/>
        <v>511721********5727</v>
      </c>
      <c r="E251" s="13" t="str">
        <f t="shared" si="17"/>
        <v>女</v>
      </c>
      <c r="F251" s="17">
        <f ca="1" t="shared" si="18"/>
        <v>18</v>
      </c>
      <c r="G251" s="13" t="s">
        <v>510</v>
      </c>
      <c r="H251" s="20"/>
      <c r="I251" s="13" t="s">
        <v>21</v>
      </c>
      <c r="J251" s="13" t="s">
        <v>415</v>
      </c>
      <c r="K251" s="13"/>
      <c r="L251" s="17"/>
      <c r="M251" s="13" t="s">
        <v>416</v>
      </c>
      <c r="N251" s="17" t="s">
        <v>34</v>
      </c>
      <c r="O251" s="13"/>
      <c r="P251" s="13"/>
    </row>
    <row r="252" ht="15.6" spans="1:16">
      <c r="A252" s="10">
        <v>249</v>
      </c>
      <c r="B252" s="34" t="s">
        <v>511</v>
      </c>
      <c r="C252" s="34" t="s">
        <v>512</v>
      </c>
      <c r="D252" s="13" t="str">
        <f t="shared" si="15"/>
        <v>513021********0446</v>
      </c>
      <c r="E252" s="13" t="str">
        <f t="shared" si="17"/>
        <v>女</v>
      </c>
      <c r="F252" s="17">
        <f ca="1" t="shared" si="18"/>
        <v>83</v>
      </c>
      <c r="G252" s="13" t="s">
        <v>513</v>
      </c>
      <c r="H252" s="20"/>
      <c r="I252" s="13" t="s">
        <v>21</v>
      </c>
      <c r="J252" s="13" t="s">
        <v>415</v>
      </c>
      <c r="K252" s="13"/>
      <c r="L252" s="17"/>
      <c r="M252" s="13" t="s">
        <v>416</v>
      </c>
      <c r="N252" s="17" t="s">
        <v>34</v>
      </c>
      <c r="O252" s="13"/>
      <c r="P252" s="13"/>
    </row>
    <row r="253" spans="1:16">
      <c r="A253" s="10">
        <v>250</v>
      </c>
      <c r="B253" s="13" t="s">
        <v>514</v>
      </c>
      <c r="C253" s="13" t="str">
        <f>"513021193808170466"</f>
        <v>513021193808170466</v>
      </c>
      <c r="D253" s="13" t="str">
        <f t="shared" si="15"/>
        <v>513021********0466</v>
      </c>
      <c r="E253" s="13" t="str">
        <f t="shared" si="17"/>
        <v>女</v>
      </c>
      <c r="F253" s="17">
        <f ca="1" t="shared" si="18"/>
        <v>86</v>
      </c>
      <c r="G253" s="13" t="s">
        <v>20</v>
      </c>
      <c r="H253" s="18">
        <v>240</v>
      </c>
      <c r="I253" s="13" t="s">
        <v>21</v>
      </c>
      <c r="J253" s="13" t="s">
        <v>415</v>
      </c>
      <c r="K253" s="13"/>
      <c r="L253" s="17"/>
      <c r="M253" s="13" t="s">
        <v>416</v>
      </c>
      <c r="N253" s="17"/>
      <c r="O253" s="13" t="s">
        <v>417</v>
      </c>
      <c r="P253" s="13">
        <v>1</v>
      </c>
    </row>
    <row r="254" spans="1:16">
      <c r="A254" s="10">
        <v>251</v>
      </c>
      <c r="B254" s="13" t="s">
        <v>515</v>
      </c>
      <c r="C254" s="13" t="s">
        <v>516</v>
      </c>
      <c r="D254" s="13" t="str">
        <f t="shared" si="15"/>
        <v>513021********054X</v>
      </c>
      <c r="E254" s="13" t="str">
        <f t="shared" si="17"/>
        <v>女</v>
      </c>
      <c r="F254" s="17">
        <f ca="1" t="shared" si="18"/>
        <v>57</v>
      </c>
      <c r="G254" s="13" t="s">
        <v>20</v>
      </c>
      <c r="H254" s="18">
        <v>240</v>
      </c>
      <c r="I254" s="13" t="s">
        <v>21</v>
      </c>
      <c r="J254" s="13" t="s">
        <v>415</v>
      </c>
      <c r="K254" s="13"/>
      <c r="L254" s="17"/>
      <c r="M254" s="13" t="s">
        <v>416</v>
      </c>
      <c r="N254" s="17"/>
      <c r="O254" s="13" t="s">
        <v>417</v>
      </c>
      <c r="P254" s="13">
        <v>1</v>
      </c>
    </row>
    <row r="255" spans="1:16">
      <c r="A255" s="10">
        <v>252</v>
      </c>
      <c r="B255" s="13" t="s">
        <v>517</v>
      </c>
      <c r="C255" s="13" t="str">
        <f>"513021194802030459"</f>
        <v>513021194802030459</v>
      </c>
      <c r="D255" s="13" t="str">
        <f t="shared" si="15"/>
        <v>513021********0459</v>
      </c>
      <c r="E255" s="13" t="str">
        <f t="shared" si="17"/>
        <v>男</v>
      </c>
      <c r="F255" s="17">
        <f ca="1" t="shared" si="18"/>
        <v>76</v>
      </c>
      <c r="G255" s="13" t="s">
        <v>20</v>
      </c>
      <c r="H255" s="18">
        <v>240</v>
      </c>
      <c r="I255" s="13" t="s">
        <v>21</v>
      </c>
      <c r="J255" s="13" t="s">
        <v>415</v>
      </c>
      <c r="K255" s="13"/>
      <c r="L255" s="17" t="str">
        <f>VLOOKUP(C255,[1]Sheet1!$B$2:$U$630,20,0)</f>
        <v>视力一级;</v>
      </c>
      <c r="M255" s="13" t="s">
        <v>416</v>
      </c>
      <c r="N255" s="17"/>
      <c r="O255" s="13" t="s">
        <v>417</v>
      </c>
      <c r="P255" s="13">
        <v>1</v>
      </c>
    </row>
    <row r="256" spans="1:16">
      <c r="A256" s="10">
        <v>253</v>
      </c>
      <c r="B256" s="13" t="s">
        <v>518</v>
      </c>
      <c r="C256" s="13" t="str">
        <f>"513021196202280656"</f>
        <v>513021196202280656</v>
      </c>
      <c r="D256" s="13" t="str">
        <f t="shared" si="15"/>
        <v>513021********0656</v>
      </c>
      <c r="E256" s="13" t="str">
        <f t="shared" si="17"/>
        <v>男</v>
      </c>
      <c r="F256" s="17">
        <f ca="1" t="shared" si="18"/>
        <v>62</v>
      </c>
      <c r="G256" s="13" t="s">
        <v>20</v>
      </c>
      <c r="H256" s="18">
        <v>240</v>
      </c>
      <c r="I256" s="13" t="s">
        <v>21</v>
      </c>
      <c r="J256" s="13" t="s">
        <v>415</v>
      </c>
      <c r="K256" s="13"/>
      <c r="L256" s="17" t="str">
        <f>VLOOKUP(C256,[1]Sheet1!$B$2:$U$630,20,0)</f>
        <v>肢体四级;</v>
      </c>
      <c r="M256" s="13" t="s">
        <v>416</v>
      </c>
      <c r="N256" s="17"/>
      <c r="O256" s="13" t="s">
        <v>417</v>
      </c>
      <c r="P256" s="13">
        <v>1</v>
      </c>
    </row>
    <row r="257" spans="1:16">
      <c r="A257" s="10">
        <v>254</v>
      </c>
      <c r="B257" s="13" t="s">
        <v>519</v>
      </c>
      <c r="C257" s="13" t="str">
        <f>"513021195211280450"</f>
        <v>513021195211280450</v>
      </c>
      <c r="D257" s="13" t="str">
        <f t="shared" si="15"/>
        <v>513021********0450</v>
      </c>
      <c r="E257" s="13" t="str">
        <f t="shared" si="17"/>
        <v>男</v>
      </c>
      <c r="F257" s="17">
        <f ca="1" t="shared" si="18"/>
        <v>72</v>
      </c>
      <c r="G257" s="13" t="s">
        <v>20</v>
      </c>
      <c r="H257" s="18">
        <v>240</v>
      </c>
      <c r="I257" s="13" t="s">
        <v>21</v>
      </c>
      <c r="J257" s="13" t="s">
        <v>415</v>
      </c>
      <c r="K257" s="13"/>
      <c r="L257" s="17"/>
      <c r="M257" s="13" t="s">
        <v>416</v>
      </c>
      <c r="N257" s="17"/>
      <c r="O257" s="13" t="s">
        <v>417</v>
      </c>
      <c r="P257" s="13">
        <v>1</v>
      </c>
    </row>
    <row r="258" spans="1:16">
      <c r="A258" s="10">
        <v>255</v>
      </c>
      <c r="B258" s="13" t="s">
        <v>520</v>
      </c>
      <c r="C258" s="13" t="str">
        <f>"513021196311120440"</f>
        <v>513021196311120440</v>
      </c>
      <c r="D258" s="13" t="str">
        <f t="shared" si="15"/>
        <v>513021********0440</v>
      </c>
      <c r="E258" s="13" t="str">
        <f t="shared" ref="E258:E279" si="19">IF(MOD(MID(C258,17,1),2)=1,"男","女")</f>
        <v>女</v>
      </c>
      <c r="F258" s="17">
        <f ca="1" t="shared" si="18"/>
        <v>61</v>
      </c>
      <c r="G258" s="13" t="s">
        <v>20</v>
      </c>
      <c r="H258" s="18">
        <v>220</v>
      </c>
      <c r="I258" s="13" t="s">
        <v>21</v>
      </c>
      <c r="J258" s="13" t="s">
        <v>415</v>
      </c>
      <c r="K258" s="13"/>
      <c r="L258" s="17" t="str">
        <f>VLOOKUP(C258,[1]Sheet1!$B$2:$U$630,20,0)</f>
        <v>肢体四级;</v>
      </c>
      <c r="M258" s="13" t="s">
        <v>416</v>
      </c>
      <c r="N258" s="17" t="s">
        <v>34</v>
      </c>
      <c r="O258" s="13"/>
      <c r="P258" s="13">
        <v>5</v>
      </c>
    </row>
    <row r="259" ht="15.6" spans="1:16">
      <c r="A259" s="10">
        <v>256</v>
      </c>
      <c r="B259" s="34" t="s">
        <v>521</v>
      </c>
      <c r="C259" s="34" t="s">
        <v>522</v>
      </c>
      <c r="D259" s="13" t="str">
        <f t="shared" si="15"/>
        <v>513021********0555</v>
      </c>
      <c r="E259" s="13" t="str">
        <f t="shared" si="19"/>
        <v>男</v>
      </c>
      <c r="F259" s="17">
        <f ca="1" t="shared" si="18"/>
        <v>46</v>
      </c>
      <c r="G259" s="13" t="s">
        <v>37</v>
      </c>
      <c r="H259" s="20"/>
      <c r="I259" s="13" t="s">
        <v>21</v>
      </c>
      <c r="J259" s="13" t="s">
        <v>415</v>
      </c>
      <c r="K259" s="13"/>
      <c r="L259" s="17"/>
      <c r="M259" s="13" t="s">
        <v>416</v>
      </c>
      <c r="N259" s="17" t="s">
        <v>34</v>
      </c>
      <c r="O259" s="13"/>
      <c r="P259" s="13"/>
    </row>
    <row r="260" ht="15.6" spans="1:16">
      <c r="A260" s="10">
        <v>257</v>
      </c>
      <c r="B260" s="34" t="s">
        <v>523</v>
      </c>
      <c r="C260" s="34" t="s">
        <v>524</v>
      </c>
      <c r="D260" s="13" t="str">
        <f t="shared" si="15"/>
        <v>513021********0442</v>
      </c>
      <c r="E260" s="13" t="str">
        <f t="shared" si="19"/>
        <v>女</v>
      </c>
      <c r="F260" s="17">
        <f ca="1" t="shared" si="18"/>
        <v>41</v>
      </c>
      <c r="G260" s="13" t="s">
        <v>475</v>
      </c>
      <c r="H260" s="20"/>
      <c r="I260" s="13" t="s">
        <v>21</v>
      </c>
      <c r="J260" s="13" t="s">
        <v>415</v>
      </c>
      <c r="K260" s="13"/>
      <c r="L260" s="17"/>
      <c r="M260" s="13" t="s">
        <v>416</v>
      </c>
      <c r="N260" s="17" t="s">
        <v>34</v>
      </c>
      <c r="O260" s="13"/>
      <c r="P260" s="13"/>
    </row>
    <row r="261" ht="15.6" spans="1:16">
      <c r="A261" s="10">
        <v>258</v>
      </c>
      <c r="B261" s="34" t="s">
        <v>525</v>
      </c>
      <c r="C261" s="34" t="s">
        <v>526</v>
      </c>
      <c r="D261" s="13" t="str">
        <f t="shared" ref="D261:D324" si="20">REPLACE(C261,7,8,"********")</f>
        <v>511721********5734</v>
      </c>
      <c r="E261" s="13" t="str">
        <f t="shared" si="19"/>
        <v>男</v>
      </c>
      <c r="F261" s="17">
        <f ca="1" t="shared" si="18"/>
        <v>18</v>
      </c>
      <c r="G261" s="13" t="s">
        <v>434</v>
      </c>
      <c r="H261" s="20"/>
      <c r="I261" s="13" t="s">
        <v>21</v>
      </c>
      <c r="J261" s="13" t="s">
        <v>415</v>
      </c>
      <c r="K261" s="13"/>
      <c r="L261" s="17"/>
      <c r="M261" s="13" t="s">
        <v>416</v>
      </c>
      <c r="N261" s="17" t="s">
        <v>34</v>
      </c>
      <c r="O261" s="13"/>
      <c r="P261" s="13"/>
    </row>
    <row r="262" ht="15.6" spans="1:16">
      <c r="A262" s="10">
        <v>259</v>
      </c>
      <c r="B262" s="34" t="s">
        <v>527</v>
      </c>
      <c r="C262" s="34" t="s">
        <v>528</v>
      </c>
      <c r="D262" s="13" t="str">
        <f t="shared" si="20"/>
        <v>511721********5721</v>
      </c>
      <c r="E262" s="13" t="str">
        <f t="shared" si="19"/>
        <v>女</v>
      </c>
      <c r="F262" s="17">
        <f ca="1" t="shared" si="18"/>
        <v>21</v>
      </c>
      <c r="G262" s="13" t="s">
        <v>434</v>
      </c>
      <c r="H262" s="20"/>
      <c r="I262" s="13" t="s">
        <v>21</v>
      </c>
      <c r="J262" s="13" t="s">
        <v>415</v>
      </c>
      <c r="K262" s="13"/>
      <c r="L262" s="17"/>
      <c r="M262" s="13" t="s">
        <v>416</v>
      </c>
      <c r="N262" s="17" t="s">
        <v>34</v>
      </c>
      <c r="O262" s="13"/>
      <c r="P262" s="13"/>
    </row>
    <row r="263" spans="1:16">
      <c r="A263" s="10">
        <v>260</v>
      </c>
      <c r="B263" s="13" t="s">
        <v>529</v>
      </c>
      <c r="C263" s="13" t="str">
        <f>"513021196607146340"</f>
        <v>513021196607146340</v>
      </c>
      <c r="D263" s="13" t="str">
        <f t="shared" si="20"/>
        <v>513021********6340</v>
      </c>
      <c r="E263" s="13" t="str">
        <f t="shared" si="19"/>
        <v>女</v>
      </c>
      <c r="F263" s="17">
        <f ca="1" t="shared" si="18"/>
        <v>58</v>
      </c>
      <c r="G263" s="13" t="s">
        <v>20</v>
      </c>
      <c r="H263" s="18">
        <v>240</v>
      </c>
      <c r="I263" s="13" t="s">
        <v>21</v>
      </c>
      <c r="J263" s="13" t="s">
        <v>415</v>
      </c>
      <c r="K263" s="13"/>
      <c r="L263" s="17"/>
      <c r="M263" s="13" t="s">
        <v>416</v>
      </c>
      <c r="N263" s="17"/>
      <c r="O263" s="13" t="s">
        <v>417</v>
      </c>
      <c r="P263" s="13">
        <v>1</v>
      </c>
    </row>
    <row r="264" spans="1:16">
      <c r="A264" s="10">
        <v>261</v>
      </c>
      <c r="B264" s="13" t="s">
        <v>530</v>
      </c>
      <c r="C264" s="13" t="str">
        <f>"513021194612060462"</f>
        <v>513021194612060462</v>
      </c>
      <c r="D264" s="13" t="str">
        <f t="shared" si="20"/>
        <v>513021********0462</v>
      </c>
      <c r="E264" s="13" t="str">
        <f t="shared" si="19"/>
        <v>女</v>
      </c>
      <c r="F264" s="17">
        <f ca="1" t="shared" si="18"/>
        <v>78</v>
      </c>
      <c r="G264" s="13" t="s">
        <v>20</v>
      </c>
      <c r="H264" s="18">
        <v>240</v>
      </c>
      <c r="I264" s="13" t="s">
        <v>21</v>
      </c>
      <c r="J264" s="13" t="s">
        <v>415</v>
      </c>
      <c r="K264" s="13"/>
      <c r="L264" s="17"/>
      <c r="M264" s="13" t="s">
        <v>416</v>
      </c>
      <c r="N264" s="17"/>
      <c r="O264" s="13" t="s">
        <v>417</v>
      </c>
      <c r="P264" s="13">
        <v>1</v>
      </c>
    </row>
    <row r="265" spans="1:16">
      <c r="A265" s="10">
        <v>262</v>
      </c>
      <c r="B265" s="13" t="s">
        <v>531</v>
      </c>
      <c r="C265" s="13" t="str">
        <f>"513021195205120442"</f>
        <v>513021195205120442</v>
      </c>
      <c r="D265" s="13" t="str">
        <f t="shared" si="20"/>
        <v>513021********0442</v>
      </c>
      <c r="E265" s="13" t="str">
        <f t="shared" si="19"/>
        <v>女</v>
      </c>
      <c r="F265" s="17">
        <f ca="1" t="shared" ref="F265:F293" si="21">YEAR(TODAY())-MID(C265,7,4)</f>
        <v>72</v>
      </c>
      <c r="G265" s="13" t="s">
        <v>20</v>
      </c>
      <c r="H265" s="18">
        <v>220</v>
      </c>
      <c r="I265" s="13" t="s">
        <v>21</v>
      </c>
      <c r="J265" s="13" t="s">
        <v>415</v>
      </c>
      <c r="K265" s="13"/>
      <c r="L265" s="17"/>
      <c r="M265" s="13" t="s">
        <v>416</v>
      </c>
      <c r="N265" s="17" t="s">
        <v>34</v>
      </c>
      <c r="O265" s="13"/>
      <c r="P265" s="13">
        <v>6</v>
      </c>
    </row>
    <row r="266" ht="15.6" spans="1:16">
      <c r="A266" s="10">
        <v>263</v>
      </c>
      <c r="B266" s="34" t="s">
        <v>532</v>
      </c>
      <c r="C266" s="34" t="s">
        <v>533</v>
      </c>
      <c r="D266" s="13" t="str">
        <f t="shared" si="20"/>
        <v>513021********0473</v>
      </c>
      <c r="E266" s="13" t="str">
        <f t="shared" si="19"/>
        <v>男</v>
      </c>
      <c r="F266" s="17">
        <f ca="1" t="shared" si="21"/>
        <v>51</v>
      </c>
      <c r="G266" s="13" t="s">
        <v>434</v>
      </c>
      <c r="H266" s="20"/>
      <c r="I266" s="13" t="s">
        <v>21</v>
      </c>
      <c r="J266" s="13" t="s">
        <v>415</v>
      </c>
      <c r="K266" s="13"/>
      <c r="L266" s="17"/>
      <c r="M266" s="13" t="s">
        <v>416</v>
      </c>
      <c r="N266" s="17" t="s">
        <v>34</v>
      </c>
      <c r="O266" s="13"/>
      <c r="P266" s="13"/>
    </row>
    <row r="267" ht="15.6" spans="1:16">
      <c r="A267" s="10">
        <v>264</v>
      </c>
      <c r="B267" s="34" t="s">
        <v>534</v>
      </c>
      <c r="C267" s="34" t="s">
        <v>535</v>
      </c>
      <c r="D267" s="13" t="str">
        <f t="shared" si="20"/>
        <v>513021********0869</v>
      </c>
      <c r="E267" s="13" t="str">
        <f t="shared" si="19"/>
        <v>女</v>
      </c>
      <c r="F267" s="17">
        <f ca="1" t="shared" si="21"/>
        <v>39</v>
      </c>
      <c r="G267" s="13" t="s">
        <v>437</v>
      </c>
      <c r="H267" s="20"/>
      <c r="I267" s="13" t="s">
        <v>21</v>
      </c>
      <c r="J267" s="13" t="s">
        <v>415</v>
      </c>
      <c r="K267" s="13"/>
      <c r="L267" s="17"/>
      <c r="M267" s="13" t="s">
        <v>416</v>
      </c>
      <c r="N267" s="17" t="s">
        <v>34</v>
      </c>
      <c r="O267" s="13"/>
      <c r="P267" s="13"/>
    </row>
    <row r="268" ht="15.6" spans="1:16">
      <c r="A268" s="10">
        <v>265</v>
      </c>
      <c r="B268" s="34" t="s">
        <v>536</v>
      </c>
      <c r="C268" s="34" t="s">
        <v>537</v>
      </c>
      <c r="D268" s="13" t="str">
        <f t="shared" si="20"/>
        <v>511721********5721</v>
      </c>
      <c r="E268" s="13" t="str">
        <f t="shared" si="19"/>
        <v>女</v>
      </c>
      <c r="F268" s="17">
        <f ca="1" t="shared" si="21"/>
        <v>20</v>
      </c>
      <c r="G268" s="13" t="s">
        <v>440</v>
      </c>
      <c r="H268" s="20"/>
      <c r="I268" s="13" t="s">
        <v>21</v>
      </c>
      <c r="J268" s="13" t="s">
        <v>415</v>
      </c>
      <c r="K268" s="13"/>
      <c r="L268" s="17"/>
      <c r="M268" s="13" t="s">
        <v>416</v>
      </c>
      <c r="N268" s="17" t="s">
        <v>34</v>
      </c>
      <c r="O268" s="13"/>
      <c r="P268" s="13"/>
    </row>
    <row r="269" ht="15.6" spans="1:16">
      <c r="A269" s="10">
        <v>266</v>
      </c>
      <c r="B269" s="34" t="s">
        <v>538</v>
      </c>
      <c r="C269" s="34" t="s">
        <v>539</v>
      </c>
      <c r="D269" s="13" t="str">
        <f t="shared" si="20"/>
        <v>511721********578X</v>
      </c>
      <c r="E269" s="13" t="str">
        <f t="shared" si="19"/>
        <v>女</v>
      </c>
      <c r="F269" s="17">
        <f ca="1" t="shared" si="21"/>
        <v>16</v>
      </c>
      <c r="G269" s="13" t="s">
        <v>440</v>
      </c>
      <c r="H269" s="20"/>
      <c r="I269" s="13" t="s">
        <v>21</v>
      </c>
      <c r="J269" s="13" t="s">
        <v>415</v>
      </c>
      <c r="K269" s="13"/>
      <c r="L269" s="17"/>
      <c r="M269" s="13" t="s">
        <v>416</v>
      </c>
      <c r="N269" s="17" t="s">
        <v>34</v>
      </c>
      <c r="O269" s="13"/>
      <c r="P269" s="13"/>
    </row>
    <row r="270" ht="15.6" spans="1:16">
      <c r="A270" s="10">
        <v>267</v>
      </c>
      <c r="B270" s="34" t="s">
        <v>540</v>
      </c>
      <c r="C270" s="34" t="s">
        <v>541</v>
      </c>
      <c r="D270" s="13" t="str">
        <f t="shared" si="20"/>
        <v>511721********5727</v>
      </c>
      <c r="E270" s="13" t="str">
        <f t="shared" si="19"/>
        <v>女</v>
      </c>
      <c r="F270" s="17">
        <f ca="1" t="shared" si="21"/>
        <v>14</v>
      </c>
      <c r="G270" s="13" t="s">
        <v>440</v>
      </c>
      <c r="H270" s="20"/>
      <c r="I270" s="13" t="s">
        <v>21</v>
      </c>
      <c r="J270" s="13" t="s">
        <v>415</v>
      </c>
      <c r="K270" s="13"/>
      <c r="L270" s="17"/>
      <c r="M270" s="13" t="s">
        <v>416</v>
      </c>
      <c r="N270" s="17" t="s">
        <v>34</v>
      </c>
      <c r="O270" s="13"/>
      <c r="P270" s="13"/>
    </row>
    <row r="271" spans="1:16">
      <c r="A271" s="10">
        <v>268</v>
      </c>
      <c r="B271" s="13" t="s">
        <v>542</v>
      </c>
      <c r="C271" s="13" t="str">
        <f>"513021196606070444"</f>
        <v>513021196606070444</v>
      </c>
      <c r="D271" s="13" t="str">
        <f t="shared" si="20"/>
        <v>513021********0444</v>
      </c>
      <c r="E271" s="13" t="str">
        <f t="shared" si="19"/>
        <v>女</v>
      </c>
      <c r="F271" s="17">
        <f ca="1" t="shared" si="21"/>
        <v>58</v>
      </c>
      <c r="G271" s="13" t="s">
        <v>20</v>
      </c>
      <c r="H271" s="18">
        <v>220</v>
      </c>
      <c r="I271" s="13" t="s">
        <v>21</v>
      </c>
      <c r="J271" s="13" t="s">
        <v>415</v>
      </c>
      <c r="K271" s="13"/>
      <c r="L271" s="17" t="str">
        <f>VLOOKUP(C271,[1]Sheet1!$B$2:$U$630,20,0)</f>
        <v>智力三级;</v>
      </c>
      <c r="M271" s="13" t="s">
        <v>416</v>
      </c>
      <c r="N271" s="17" t="s">
        <v>34</v>
      </c>
      <c r="O271" s="13"/>
      <c r="P271" s="13">
        <v>3</v>
      </c>
    </row>
    <row r="272" ht="15.6" spans="1:16">
      <c r="A272" s="10">
        <v>269</v>
      </c>
      <c r="B272" s="34" t="s">
        <v>543</v>
      </c>
      <c r="C272" s="34" t="s">
        <v>544</v>
      </c>
      <c r="D272" s="13" t="str">
        <f t="shared" si="20"/>
        <v>513021********0454</v>
      </c>
      <c r="E272" s="13" t="str">
        <f t="shared" si="19"/>
        <v>男</v>
      </c>
      <c r="F272" s="17">
        <f ca="1" t="shared" si="21"/>
        <v>36</v>
      </c>
      <c r="G272" s="13" t="s">
        <v>434</v>
      </c>
      <c r="H272" s="20"/>
      <c r="I272" s="13" t="s">
        <v>21</v>
      </c>
      <c r="J272" s="13" t="s">
        <v>415</v>
      </c>
      <c r="K272" s="13"/>
      <c r="L272" s="17"/>
      <c r="M272" s="13" t="s">
        <v>416</v>
      </c>
      <c r="N272" s="17" t="s">
        <v>34</v>
      </c>
      <c r="O272" s="13"/>
      <c r="P272" s="13"/>
    </row>
    <row r="273" ht="15.6" spans="1:16">
      <c r="A273" s="10">
        <v>270</v>
      </c>
      <c r="B273" s="34" t="s">
        <v>545</v>
      </c>
      <c r="C273" s="34" t="s">
        <v>546</v>
      </c>
      <c r="D273" s="13" t="str">
        <f t="shared" si="20"/>
        <v>511721********5716</v>
      </c>
      <c r="E273" s="13" t="str">
        <f t="shared" si="19"/>
        <v>男</v>
      </c>
      <c r="F273" s="17">
        <f ca="1" t="shared" si="21"/>
        <v>14</v>
      </c>
      <c r="G273" s="13" t="s">
        <v>440</v>
      </c>
      <c r="H273" s="20"/>
      <c r="I273" s="13" t="s">
        <v>21</v>
      </c>
      <c r="J273" s="13" t="s">
        <v>415</v>
      </c>
      <c r="K273" s="13"/>
      <c r="L273" s="17"/>
      <c r="M273" s="13" t="s">
        <v>416</v>
      </c>
      <c r="N273" s="17" t="s">
        <v>34</v>
      </c>
      <c r="O273" s="13"/>
      <c r="P273" s="13"/>
    </row>
    <row r="274" spans="1:16">
      <c r="A274" s="10">
        <v>271</v>
      </c>
      <c r="B274" s="13" t="s">
        <v>547</v>
      </c>
      <c r="C274" s="13" t="str">
        <f>"513021195710220444"</f>
        <v>513021195710220444</v>
      </c>
      <c r="D274" s="13" t="str">
        <f t="shared" si="20"/>
        <v>513021********0444</v>
      </c>
      <c r="E274" s="13" t="str">
        <f t="shared" si="19"/>
        <v>女</v>
      </c>
      <c r="F274" s="17">
        <f ca="1" t="shared" si="21"/>
        <v>67</v>
      </c>
      <c r="G274" s="13" t="s">
        <v>20</v>
      </c>
      <c r="H274" s="18">
        <v>240</v>
      </c>
      <c r="I274" s="13" t="s">
        <v>21</v>
      </c>
      <c r="J274" s="13" t="s">
        <v>415</v>
      </c>
      <c r="K274" s="13"/>
      <c r="L274" s="17"/>
      <c r="M274" s="13" t="s">
        <v>416</v>
      </c>
      <c r="N274" s="17"/>
      <c r="O274" s="13" t="s">
        <v>417</v>
      </c>
      <c r="P274" s="13">
        <v>1</v>
      </c>
    </row>
    <row r="275" spans="1:16">
      <c r="A275" s="10">
        <v>272</v>
      </c>
      <c r="B275" s="13" t="s">
        <v>548</v>
      </c>
      <c r="C275" s="13" t="s">
        <v>549</v>
      </c>
      <c r="D275" s="13" t="str">
        <f t="shared" si="20"/>
        <v>513021********045X</v>
      </c>
      <c r="E275" s="13" t="str">
        <f t="shared" si="19"/>
        <v>男</v>
      </c>
      <c r="F275" s="17">
        <f ca="1" t="shared" si="21"/>
        <v>93</v>
      </c>
      <c r="G275" s="13" t="s">
        <v>20</v>
      </c>
      <c r="H275" s="18">
        <v>380</v>
      </c>
      <c r="I275" s="13" t="s">
        <v>21</v>
      </c>
      <c r="J275" s="13" t="s">
        <v>415</v>
      </c>
      <c r="K275" s="13"/>
      <c r="L275" s="17"/>
      <c r="M275" s="13" t="s">
        <v>416</v>
      </c>
      <c r="N275" s="17"/>
      <c r="O275" s="13" t="s">
        <v>417</v>
      </c>
      <c r="P275" s="13">
        <v>1</v>
      </c>
    </row>
    <row r="276" spans="1:16">
      <c r="A276" s="10">
        <v>273</v>
      </c>
      <c r="B276" s="13" t="s">
        <v>550</v>
      </c>
      <c r="C276" s="13" t="str">
        <f>"513021195206010448"</f>
        <v>513021195206010448</v>
      </c>
      <c r="D276" s="13" t="str">
        <f t="shared" si="20"/>
        <v>513021********0448</v>
      </c>
      <c r="E276" s="13" t="str">
        <f t="shared" si="19"/>
        <v>女</v>
      </c>
      <c r="F276" s="17">
        <f ca="1" t="shared" si="21"/>
        <v>72</v>
      </c>
      <c r="G276" s="13" t="s">
        <v>20</v>
      </c>
      <c r="H276" s="18">
        <v>220</v>
      </c>
      <c r="I276" s="13" t="s">
        <v>21</v>
      </c>
      <c r="J276" s="13" t="s">
        <v>415</v>
      </c>
      <c r="K276" s="13"/>
      <c r="L276" s="17"/>
      <c r="M276" s="13" t="s">
        <v>416</v>
      </c>
      <c r="N276" s="17" t="s">
        <v>34</v>
      </c>
      <c r="O276" s="13"/>
      <c r="P276" s="13">
        <v>2</v>
      </c>
    </row>
    <row r="277" ht="15.6" spans="1:16">
      <c r="A277" s="10">
        <v>274</v>
      </c>
      <c r="B277" s="34" t="s">
        <v>551</v>
      </c>
      <c r="C277" s="34" t="s">
        <v>552</v>
      </c>
      <c r="D277" s="13" t="str">
        <f t="shared" si="20"/>
        <v>513021********0456</v>
      </c>
      <c r="E277" s="13" t="str">
        <f t="shared" si="19"/>
        <v>男</v>
      </c>
      <c r="F277" s="17">
        <f ca="1" t="shared" si="21"/>
        <v>48</v>
      </c>
      <c r="G277" s="13" t="s">
        <v>434</v>
      </c>
      <c r="H277" s="20"/>
      <c r="I277" s="13" t="s">
        <v>21</v>
      </c>
      <c r="J277" s="13" t="s">
        <v>415</v>
      </c>
      <c r="K277" s="13"/>
      <c r="L277" s="17"/>
      <c r="M277" s="13" t="s">
        <v>416</v>
      </c>
      <c r="N277" s="17" t="s">
        <v>34</v>
      </c>
      <c r="O277" s="13"/>
      <c r="P277" s="13"/>
    </row>
    <row r="278" spans="1:16">
      <c r="A278" s="10">
        <v>275</v>
      </c>
      <c r="B278" s="13" t="s">
        <v>553</v>
      </c>
      <c r="C278" s="13" t="str">
        <f>"513021193106280441"</f>
        <v>513021193106280441</v>
      </c>
      <c r="D278" s="13" t="str">
        <f t="shared" si="20"/>
        <v>513021********0441</v>
      </c>
      <c r="E278" s="13" t="str">
        <f t="shared" si="19"/>
        <v>女</v>
      </c>
      <c r="F278" s="17">
        <f ca="1" t="shared" si="21"/>
        <v>93</v>
      </c>
      <c r="G278" s="13" t="s">
        <v>20</v>
      </c>
      <c r="H278" s="18">
        <v>240</v>
      </c>
      <c r="I278" s="13" t="s">
        <v>21</v>
      </c>
      <c r="J278" s="13" t="s">
        <v>415</v>
      </c>
      <c r="K278" s="13"/>
      <c r="L278" s="17"/>
      <c r="M278" s="13" t="s">
        <v>416</v>
      </c>
      <c r="N278" s="17"/>
      <c r="O278" s="13" t="s">
        <v>417</v>
      </c>
      <c r="P278" s="13">
        <v>1</v>
      </c>
    </row>
    <row r="279" spans="1:16">
      <c r="A279" s="10">
        <v>276</v>
      </c>
      <c r="B279" s="13" t="s">
        <v>554</v>
      </c>
      <c r="C279" s="13" t="str">
        <f>"513021194702280442"</f>
        <v>513021194702280442</v>
      </c>
      <c r="D279" s="13" t="str">
        <f t="shared" si="20"/>
        <v>513021********0442</v>
      </c>
      <c r="E279" s="13" t="str">
        <f t="shared" si="19"/>
        <v>女</v>
      </c>
      <c r="F279" s="17">
        <f ca="1" t="shared" si="21"/>
        <v>77</v>
      </c>
      <c r="G279" s="13" t="s">
        <v>20</v>
      </c>
      <c r="H279" s="18">
        <v>220</v>
      </c>
      <c r="I279" s="13" t="s">
        <v>21</v>
      </c>
      <c r="J279" s="13" t="s">
        <v>415</v>
      </c>
      <c r="K279" s="13"/>
      <c r="L279" s="17"/>
      <c r="M279" s="13" t="s">
        <v>416</v>
      </c>
      <c r="N279" s="17" t="s">
        <v>34</v>
      </c>
      <c r="O279" s="13"/>
      <c r="P279" s="13">
        <v>1</v>
      </c>
    </row>
    <row r="280" spans="1:16">
      <c r="A280" s="10">
        <v>277</v>
      </c>
      <c r="B280" s="13" t="s">
        <v>555</v>
      </c>
      <c r="C280" s="13" t="str">
        <f>"513021196304280454"</f>
        <v>513021196304280454</v>
      </c>
      <c r="D280" s="13" t="str">
        <f t="shared" si="20"/>
        <v>513021********0454</v>
      </c>
      <c r="E280" s="13" t="str">
        <f t="shared" ref="E280:E292" si="22">IF(MOD(MID(C280,17,1),2)=1,"男","女")</f>
        <v>男</v>
      </c>
      <c r="F280" s="17">
        <f ca="1" t="shared" si="21"/>
        <v>61</v>
      </c>
      <c r="G280" s="13" t="s">
        <v>20</v>
      </c>
      <c r="H280" s="18">
        <v>240</v>
      </c>
      <c r="I280" s="13" t="s">
        <v>21</v>
      </c>
      <c r="J280" s="13" t="s">
        <v>415</v>
      </c>
      <c r="K280" s="13"/>
      <c r="L280" s="17"/>
      <c r="M280" s="13" t="s">
        <v>416</v>
      </c>
      <c r="N280" s="17"/>
      <c r="O280" s="13" t="s">
        <v>417</v>
      </c>
      <c r="P280" s="13">
        <v>1</v>
      </c>
    </row>
    <row r="281" spans="1:16">
      <c r="A281" s="10">
        <v>278</v>
      </c>
      <c r="B281" s="13" t="s">
        <v>556</v>
      </c>
      <c r="C281" s="13" t="s">
        <v>557</v>
      </c>
      <c r="D281" s="13" t="str">
        <f t="shared" si="20"/>
        <v>513021********044X</v>
      </c>
      <c r="E281" s="13" t="str">
        <f t="shared" si="22"/>
        <v>女</v>
      </c>
      <c r="F281" s="17">
        <f ca="1" t="shared" si="21"/>
        <v>79</v>
      </c>
      <c r="G281" s="13" t="s">
        <v>20</v>
      </c>
      <c r="H281" s="18">
        <v>240</v>
      </c>
      <c r="I281" s="13" t="s">
        <v>21</v>
      </c>
      <c r="J281" s="13" t="s">
        <v>415</v>
      </c>
      <c r="K281" s="13"/>
      <c r="L281" s="17"/>
      <c r="M281" s="13" t="s">
        <v>416</v>
      </c>
      <c r="N281" s="17"/>
      <c r="O281" s="13" t="s">
        <v>417</v>
      </c>
      <c r="P281" s="13">
        <v>1</v>
      </c>
    </row>
    <row r="282" spans="1:16">
      <c r="A282" s="10">
        <v>279</v>
      </c>
      <c r="B282" s="13" t="s">
        <v>558</v>
      </c>
      <c r="C282" s="13" t="str">
        <f>"513021195510040457"</f>
        <v>513021195510040457</v>
      </c>
      <c r="D282" s="13" t="str">
        <f t="shared" si="20"/>
        <v>513021********0457</v>
      </c>
      <c r="E282" s="13" t="str">
        <f t="shared" si="22"/>
        <v>男</v>
      </c>
      <c r="F282" s="17">
        <f ca="1" t="shared" si="21"/>
        <v>69</v>
      </c>
      <c r="G282" s="13" t="s">
        <v>20</v>
      </c>
      <c r="H282" s="18">
        <v>440</v>
      </c>
      <c r="I282" s="13" t="s">
        <v>21</v>
      </c>
      <c r="J282" s="13" t="s">
        <v>415</v>
      </c>
      <c r="K282" s="13"/>
      <c r="L282" s="17"/>
      <c r="M282" s="13" t="s">
        <v>416</v>
      </c>
      <c r="N282" s="17" t="s">
        <v>34</v>
      </c>
      <c r="O282" s="13"/>
      <c r="P282" s="13">
        <v>5</v>
      </c>
    </row>
    <row r="283" ht="15.6" spans="1:16">
      <c r="A283" s="10">
        <v>280</v>
      </c>
      <c r="B283" s="34" t="s">
        <v>559</v>
      </c>
      <c r="C283" s="34" t="s">
        <v>560</v>
      </c>
      <c r="D283" s="13" t="str">
        <f t="shared" si="20"/>
        <v>513021********0442</v>
      </c>
      <c r="E283" s="13" t="str">
        <f t="shared" si="22"/>
        <v>女</v>
      </c>
      <c r="F283" s="17">
        <f ca="1" t="shared" si="21"/>
        <v>67</v>
      </c>
      <c r="G283" s="13" t="s">
        <v>37</v>
      </c>
      <c r="H283" s="20"/>
      <c r="I283" s="13" t="s">
        <v>21</v>
      </c>
      <c r="J283" s="13" t="s">
        <v>415</v>
      </c>
      <c r="K283" s="13"/>
      <c r="L283" s="17"/>
      <c r="M283" s="13" t="s">
        <v>416</v>
      </c>
      <c r="N283" s="17" t="s">
        <v>34</v>
      </c>
      <c r="O283" s="13"/>
      <c r="P283" s="13"/>
    </row>
    <row r="284" ht="15.6" spans="1:16">
      <c r="A284" s="10">
        <v>281</v>
      </c>
      <c r="B284" s="34" t="s">
        <v>561</v>
      </c>
      <c r="C284" s="34" t="s">
        <v>562</v>
      </c>
      <c r="D284" s="13" t="str">
        <f t="shared" si="20"/>
        <v>511721********0116</v>
      </c>
      <c r="E284" s="13" t="str">
        <f t="shared" si="22"/>
        <v>男</v>
      </c>
      <c r="F284" s="17">
        <f ca="1" t="shared" si="21"/>
        <v>7</v>
      </c>
      <c r="G284" s="13" t="s">
        <v>563</v>
      </c>
      <c r="H284" s="20"/>
      <c r="I284" s="13" t="s">
        <v>21</v>
      </c>
      <c r="J284" s="13" t="s">
        <v>415</v>
      </c>
      <c r="K284" s="13"/>
      <c r="L284" s="17"/>
      <c r="M284" s="13" t="s">
        <v>416</v>
      </c>
      <c r="N284" s="17" t="s">
        <v>34</v>
      </c>
      <c r="O284" s="13"/>
      <c r="P284" s="13"/>
    </row>
    <row r="285" ht="15.6" spans="1:16">
      <c r="A285" s="10">
        <v>282</v>
      </c>
      <c r="B285" s="34" t="s">
        <v>564</v>
      </c>
      <c r="C285" s="34" t="s">
        <v>565</v>
      </c>
      <c r="D285" s="13" t="str">
        <f t="shared" si="20"/>
        <v>513021********0452</v>
      </c>
      <c r="E285" s="13" t="str">
        <f t="shared" si="22"/>
        <v>男</v>
      </c>
      <c r="F285" s="17">
        <f ca="1" t="shared" si="21"/>
        <v>29</v>
      </c>
      <c r="G285" s="13" t="s">
        <v>429</v>
      </c>
      <c r="H285" s="20"/>
      <c r="I285" s="13" t="s">
        <v>21</v>
      </c>
      <c r="J285" s="13" t="s">
        <v>415</v>
      </c>
      <c r="K285" s="13"/>
      <c r="L285" s="17"/>
      <c r="M285" s="13" t="s">
        <v>416</v>
      </c>
      <c r="N285" s="17" t="s">
        <v>34</v>
      </c>
      <c r="O285" s="13"/>
      <c r="P285" s="13"/>
    </row>
    <row r="286" ht="15.6" spans="1:16">
      <c r="A286" s="10">
        <v>283</v>
      </c>
      <c r="B286" s="34" t="s">
        <v>566</v>
      </c>
      <c r="C286" s="34" t="s">
        <v>567</v>
      </c>
      <c r="D286" s="13" t="str">
        <f t="shared" si="20"/>
        <v>513021********0457</v>
      </c>
      <c r="E286" s="13" t="str">
        <f t="shared" si="22"/>
        <v>男</v>
      </c>
      <c r="F286" s="17">
        <f ca="1" t="shared" si="21"/>
        <v>40</v>
      </c>
      <c r="G286" s="13" t="s">
        <v>429</v>
      </c>
      <c r="H286" s="20"/>
      <c r="I286" s="13" t="s">
        <v>21</v>
      </c>
      <c r="J286" s="13" t="s">
        <v>415</v>
      </c>
      <c r="K286" s="13"/>
      <c r="L286" s="17"/>
      <c r="M286" s="13" t="s">
        <v>416</v>
      </c>
      <c r="N286" s="17" t="s">
        <v>34</v>
      </c>
      <c r="O286" s="13"/>
      <c r="P286" s="13"/>
    </row>
    <row r="287" spans="1:16">
      <c r="A287" s="10">
        <v>284</v>
      </c>
      <c r="B287" s="13" t="s">
        <v>568</v>
      </c>
      <c r="C287" s="13" t="str">
        <f>"513021198209040451"</f>
        <v>513021198209040451</v>
      </c>
      <c r="D287" s="13" t="str">
        <f t="shared" si="20"/>
        <v>513021********0451</v>
      </c>
      <c r="E287" s="13" t="str">
        <f t="shared" si="22"/>
        <v>男</v>
      </c>
      <c r="F287" s="17">
        <f ca="1" t="shared" si="21"/>
        <v>42</v>
      </c>
      <c r="G287" s="13" t="s">
        <v>20</v>
      </c>
      <c r="H287" s="20">
        <v>380</v>
      </c>
      <c r="I287" s="13" t="s">
        <v>21</v>
      </c>
      <c r="J287" s="13" t="s">
        <v>415</v>
      </c>
      <c r="K287" s="13"/>
      <c r="L287" s="17"/>
      <c r="M287" s="13"/>
      <c r="N287" s="17"/>
      <c r="O287" s="13"/>
      <c r="P287" s="13">
        <v>1</v>
      </c>
    </row>
    <row r="288" spans="1:16">
      <c r="A288" s="10">
        <v>285</v>
      </c>
      <c r="B288" s="13" t="s">
        <v>569</v>
      </c>
      <c r="C288" s="13" t="str">
        <f>"513021196709010479"</f>
        <v>513021196709010479</v>
      </c>
      <c r="D288" s="13" t="str">
        <f t="shared" si="20"/>
        <v>513021********0479</v>
      </c>
      <c r="E288" s="13" t="str">
        <f t="shared" si="22"/>
        <v>男</v>
      </c>
      <c r="F288" s="17">
        <f ca="1" t="shared" si="21"/>
        <v>57</v>
      </c>
      <c r="G288" s="13" t="s">
        <v>20</v>
      </c>
      <c r="H288" s="18">
        <v>240</v>
      </c>
      <c r="I288" s="13" t="s">
        <v>21</v>
      </c>
      <c r="J288" s="13" t="s">
        <v>415</v>
      </c>
      <c r="K288" s="13"/>
      <c r="L288" s="17"/>
      <c r="M288" s="13" t="s">
        <v>416</v>
      </c>
      <c r="N288" s="17" t="s">
        <v>34</v>
      </c>
      <c r="O288" s="13" t="s">
        <v>417</v>
      </c>
      <c r="P288" s="13">
        <v>1</v>
      </c>
    </row>
    <row r="289" spans="1:16">
      <c r="A289" s="10">
        <v>286</v>
      </c>
      <c r="B289" s="13" t="s">
        <v>570</v>
      </c>
      <c r="C289" s="13" t="str">
        <f>"513021192811280469"</f>
        <v>513021192811280469</v>
      </c>
      <c r="D289" s="13" t="str">
        <f t="shared" si="20"/>
        <v>513021********0469</v>
      </c>
      <c r="E289" s="13" t="str">
        <f t="shared" si="22"/>
        <v>女</v>
      </c>
      <c r="F289" s="17">
        <f ca="1" t="shared" si="21"/>
        <v>96</v>
      </c>
      <c r="G289" s="13" t="s">
        <v>20</v>
      </c>
      <c r="H289" s="18">
        <v>240</v>
      </c>
      <c r="I289" s="13" t="s">
        <v>21</v>
      </c>
      <c r="J289" s="13" t="s">
        <v>415</v>
      </c>
      <c r="K289" s="13"/>
      <c r="L289" s="17"/>
      <c r="M289" s="13" t="s">
        <v>416</v>
      </c>
      <c r="N289" s="17"/>
      <c r="O289" s="13" t="s">
        <v>417</v>
      </c>
      <c r="P289" s="13">
        <v>1</v>
      </c>
    </row>
    <row r="290" spans="1:16">
      <c r="A290" s="10">
        <v>287</v>
      </c>
      <c r="B290" s="13" t="s">
        <v>571</v>
      </c>
      <c r="C290" s="13" t="str">
        <f>"513021193010300452"</f>
        <v>513021193010300452</v>
      </c>
      <c r="D290" s="13" t="str">
        <f t="shared" si="20"/>
        <v>513021********0452</v>
      </c>
      <c r="E290" s="13" t="str">
        <f t="shared" si="22"/>
        <v>男</v>
      </c>
      <c r="F290" s="17">
        <f ca="1" t="shared" si="21"/>
        <v>94</v>
      </c>
      <c r="G290" s="13" t="s">
        <v>20</v>
      </c>
      <c r="H290" s="18">
        <v>240</v>
      </c>
      <c r="I290" s="13" t="s">
        <v>21</v>
      </c>
      <c r="J290" s="13" t="s">
        <v>415</v>
      </c>
      <c r="K290" s="13"/>
      <c r="L290" s="17"/>
      <c r="M290" s="13" t="s">
        <v>416</v>
      </c>
      <c r="N290" s="17"/>
      <c r="O290" s="13" t="s">
        <v>417</v>
      </c>
      <c r="P290" s="13">
        <v>1</v>
      </c>
    </row>
    <row r="291" spans="1:16">
      <c r="A291" s="10">
        <v>288</v>
      </c>
      <c r="B291" s="13" t="s">
        <v>572</v>
      </c>
      <c r="C291" s="13" t="str">
        <f>"513021196706260472"</f>
        <v>513021196706260472</v>
      </c>
      <c r="D291" s="13" t="str">
        <f t="shared" si="20"/>
        <v>513021********0472</v>
      </c>
      <c r="E291" s="13" t="str">
        <f t="shared" ref="E291:E354" si="23">IF(MOD(MID(C291,17,1),2)=1,"男","女")</f>
        <v>男</v>
      </c>
      <c r="F291" s="17">
        <f ca="1" t="shared" ref="F291:F348" si="24">YEAR(TODAY())-MID(C291,7,4)</f>
        <v>57</v>
      </c>
      <c r="G291" s="13" t="s">
        <v>20</v>
      </c>
      <c r="H291" s="18">
        <v>240</v>
      </c>
      <c r="I291" s="13" t="s">
        <v>21</v>
      </c>
      <c r="J291" s="13" t="s">
        <v>415</v>
      </c>
      <c r="K291" s="13"/>
      <c r="L291" s="17" t="str">
        <f>VLOOKUP(C291,[1]Sheet1!$B$2:$U$630,20,0)</f>
        <v>肢体三级;</v>
      </c>
      <c r="M291" s="13" t="s">
        <v>416</v>
      </c>
      <c r="N291" s="17"/>
      <c r="O291" s="13" t="s">
        <v>417</v>
      </c>
      <c r="P291" s="13">
        <v>1</v>
      </c>
    </row>
    <row r="292" spans="1:16">
      <c r="A292" s="10">
        <v>289</v>
      </c>
      <c r="B292" s="13" t="s">
        <v>573</v>
      </c>
      <c r="C292" s="13" t="str">
        <f>"513021195303100453"</f>
        <v>513021195303100453</v>
      </c>
      <c r="D292" s="13" t="str">
        <f t="shared" si="20"/>
        <v>513021********0453</v>
      </c>
      <c r="E292" s="13" t="str">
        <f t="shared" si="23"/>
        <v>男</v>
      </c>
      <c r="F292" s="17">
        <f ca="1" t="shared" si="24"/>
        <v>71</v>
      </c>
      <c r="G292" s="13" t="s">
        <v>20</v>
      </c>
      <c r="H292" s="18">
        <v>660</v>
      </c>
      <c r="I292" s="13" t="s">
        <v>21</v>
      </c>
      <c r="J292" s="13" t="s">
        <v>415</v>
      </c>
      <c r="K292" s="13"/>
      <c r="L292" s="17"/>
      <c r="M292" s="13" t="s">
        <v>416</v>
      </c>
      <c r="N292" s="17" t="s">
        <v>34</v>
      </c>
      <c r="O292" s="13"/>
      <c r="P292" s="13">
        <v>3</v>
      </c>
    </row>
    <row r="293" ht="15.6" spans="1:16">
      <c r="A293" s="10">
        <v>290</v>
      </c>
      <c r="B293" s="34" t="s">
        <v>574</v>
      </c>
      <c r="C293" s="34" t="s">
        <v>575</v>
      </c>
      <c r="D293" s="13" t="str">
        <f t="shared" si="20"/>
        <v>513021********0452</v>
      </c>
      <c r="E293" s="13" t="str">
        <f t="shared" si="23"/>
        <v>男</v>
      </c>
      <c r="F293" s="17">
        <f ca="1" t="shared" si="24"/>
        <v>43</v>
      </c>
      <c r="G293" s="13" t="s">
        <v>429</v>
      </c>
      <c r="H293" s="20"/>
      <c r="I293" s="13" t="s">
        <v>21</v>
      </c>
      <c r="J293" s="13" t="s">
        <v>415</v>
      </c>
      <c r="K293" s="13"/>
      <c r="L293" s="17" t="str">
        <f>VLOOKUP(C293,[1]Sheet1!$B$2:$U$630,20,0)</f>
        <v>肢体四级;</v>
      </c>
      <c r="M293" s="13" t="s">
        <v>416</v>
      </c>
      <c r="N293" s="17" t="s">
        <v>34</v>
      </c>
      <c r="O293" s="13"/>
      <c r="P293" s="13"/>
    </row>
    <row r="294" ht="15.6" spans="1:16">
      <c r="A294" s="10">
        <v>291</v>
      </c>
      <c r="B294" s="34" t="s">
        <v>576</v>
      </c>
      <c r="C294" s="34" t="s">
        <v>577</v>
      </c>
      <c r="D294" s="13" t="str">
        <f t="shared" si="20"/>
        <v>511721********5715</v>
      </c>
      <c r="E294" s="13" t="str">
        <f t="shared" si="23"/>
        <v>男</v>
      </c>
      <c r="F294" s="17">
        <f ca="1" t="shared" si="24"/>
        <v>21</v>
      </c>
      <c r="G294" s="13" t="s">
        <v>469</v>
      </c>
      <c r="H294" s="20"/>
      <c r="I294" s="13" t="s">
        <v>21</v>
      </c>
      <c r="J294" s="13" t="s">
        <v>415</v>
      </c>
      <c r="K294" s="13"/>
      <c r="L294" s="17"/>
      <c r="M294" s="13" t="s">
        <v>416</v>
      </c>
      <c r="N294" s="17" t="s">
        <v>34</v>
      </c>
      <c r="O294" s="13"/>
      <c r="P294" s="13"/>
    </row>
    <row r="295" spans="1:16">
      <c r="A295" s="10">
        <v>292</v>
      </c>
      <c r="B295" s="13" t="s">
        <v>219</v>
      </c>
      <c r="C295" s="13" t="str">
        <f>"513021196301260466"</f>
        <v>513021196301260466</v>
      </c>
      <c r="D295" s="13" t="str">
        <f t="shared" si="20"/>
        <v>513021********0466</v>
      </c>
      <c r="E295" s="13" t="str">
        <f t="shared" si="23"/>
        <v>女</v>
      </c>
      <c r="F295" s="17">
        <f ca="1" t="shared" si="24"/>
        <v>61</v>
      </c>
      <c r="G295" s="13" t="s">
        <v>20</v>
      </c>
      <c r="H295" s="18">
        <v>440</v>
      </c>
      <c r="I295" s="13" t="s">
        <v>21</v>
      </c>
      <c r="J295" s="13" t="s">
        <v>415</v>
      </c>
      <c r="K295" s="13"/>
      <c r="L295" s="17"/>
      <c r="M295" s="13" t="s">
        <v>416</v>
      </c>
      <c r="N295" s="17" t="s">
        <v>34</v>
      </c>
      <c r="O295" s="13"/>
      <c r="P295" s="13">
        <v>3</v>
      </c>
    </row>
    <row r="296" ht="15.6" spans="1:16">
      <c r="A296" s="10">
        <v>293</v>
      </c>
      <c r="B296" s="34" t="s">
        <v>578</v>
      </c>
      <c r="C296" s="34" t="s">
        <v>579</v>
      </c>
      <c r="D296" s="13" t="str">
        <f t="shared" si="20"/>
        <v>513021********0443</v>
      </c>
      <c r="E296" s="13" t="str">
        <f t="shared" si="23"/>
        <v>女</v>
      </c>
      <c r="F296" s="17">
        <f ca="1" t="shared" si="24"/>
        <v>36</v>
      </c>
      <c r="G296" s="13" t="s">
        <v>475</v>
      </c>
      <c r="H296" s="20"/>
      <c r="I296" s="13" t="s">
        <v>21</v>
      </c>
      <c r="J296" s="13" t="s">
        <v>415</v>
      </c>
      <c r="K296" s="13"/>
      <c r="L296" s="17"/>
      <c r="M296" s="13" t="s">
        <v>416</v>
      </c>
      <c r="N296" s="17" t="s">
        <v>34</v>
      </c>
      <c r="O296" s="13"/>
      <c r="P296" s="13"/>
    </row>
    <row r="297" ht="15.6" spans="1:16">
      <c r="A297" s="10">
        <v>294</v>
      </c>
      <c r="B297" s="34" t="s">
        <v>580</v>
      </c>
      <c r="C297" s="34" t="s">
        <v>581</v>
      </c>
      <c r="D297" s="13" t="str">
        <f t="shared" si="20"/>
        <v>511721********5718</v>
      </c>
      <c r="E297" s="13" t="str">
        <f t="shared" si="23"/>
        <v>男</v>
      </c>
      <c r="F297" s="17">
        <f ca="1" t="shared" si="24"/>
        <v>12</v>
      </c>
      <c r="G297" s="13" t="s">
        <v>563</v>
      </c>
      <c r="H297" s="20"/>
      <c r="I297" s="13" t="s">
        <v>21</v>
      </c>
      <c r="J297" s="13" t="s">
        <v>415</v>
      </c>
      <c r="K297" s="13"/>
      <c r="L297" s="17"/>
      <c r="M297" s="13" t="s">
        <v>416</v>
      </c>
      <c r="N297" s="17" t="s">
        <v>34</v>
      </c>
      <c r="O297" s="13"/>
      <c r="P297" s="13"/>
    </row>
    <row r="298" spans="1:16">
      <c r="A298" s="10">
        <v>295</v>
      </c>
      <c r="B298" s="13" t="s">
        <v>582</v>
      </c>
      <c r="C298" s="13" t="str">
        <f>"513021194209050440"</f>
        <v>513021194209050440</v>
      </c>
      <c r="D298" s="13" t="str">
        <f t="shared" si="20"/>
        <v>513021********0440</v>
      </c>
      <c r="E298" s="13" t="str">
        <f t="shared" si="23"/>
        <v>女</v>
      </c>
      <c r="F298" s="17">
        <f ca="1" t="shared" si="24"/>
        <v>82</v>
      </c>
      <c r="G298" s="13" t="s">
        <v>20</v>
      </c>
      <c r="H298" s="18">
        <v>240</v>
      </c>
      <c r="I298" s="13" t="s">
        <v>21</v>
      </c>
      <c r="J298" s="13" t="s">
        <v>415</v>
      </c>
      <c r="K298" s="13"/>
      <c r="L298" s="17"/>
      <c r="M298" s="13" t="s">
        <v>416</v>
      </c>
      <c r="N298" s="17"/>
      <c r="O298" s="13" t="s">
        <v>417</v>
      </c>
      <c r="P298" s="13">
        <v>1</v>
      </c>
    </row>
    <row r="299" ht="15.6" spans="1:16">
      <c r="A299" s="10">
        <v>296</v>
      </c>
      <c r="B299" s="34" t="s">
        <v>583</v>
      </c>
      <c r="C299" s="34" t="s">
        <v>584</v>
      </c>
      <c r="D299" s="13" t="str">
        <f t="shared" si="20"/>
        <v>513021********0448</v>
      </c>
      <c r="E299" s="13" t="str">
        <f t="shared" si="23"/>
        <v>女</v>
      </c>
      <c r="F299" s="17">
        <f ca="1" t="shared" si="24"/>
        <v>73</v>
      </c>
      <c r="G299" s="13" t="s">
        <v>20</v>
      </c>
      <c r="H299" s="18">
        <v>220</v>
      </c>
      <c r="I299" s="13" t="s">
        <v>21</v>
      </c>
      <c r="J299" s="13" t="s">
        <v>415</v>
      </c>
      <c r="K299" s="13"/>
      <c r="L299" s="17"/>
      <c r="M299" s="13" t="s">
        <v>416</v>
      </c>
      <c r="N299" s="17" t="s">
        <v>34</v>
      </c>
      <c r="O299" s="13"/>
      <c r="P299" s="13">
        <v>2</v>
      </c>
    </row>
    <row r="300" ht="15.6" spans="1:16">
      <c r="A300" s="10">
        <v>297</v>
      </c>
      <c r="B300" s="34" t="s">
        <v>585</v>
      </c>
      <c r="C300" s="34" t="s">
        <v>586</v>
      </c>
      <c r="D300" s="13" t="str">
        <f t="shared" si="20"/>
        <v>513021********0493</v>
      </c>
      <c r="E300" s="13" t="str">
        <f t="shared" si="23"/>
        <v>男</v>
      </c>
      <c r="F300" s="17">
        <f ca="1" t="shared" si="24"/>
        <v>47</v>
      </c>
      <c r="G300" s="13" t="s">
        <v>145</v>
      </c>
      <c r="H300" s="20"/>
      <c r="I300" s="13" t="s">
        <v>21</v>
      </c>
      <c r="J300" s="13" t="s">
        <v>415</v>
      </c>
      <c r="K300" s="13"/>
      <c r="L300" s="17"/>
      <c r="M300" s="13" t="s">
        <v>416</v>
      </c>
      <c r="N300" s="17" t="s">
        <v>34</v>
      </c>
      <c r="O300" s="13"/>
      <c r="P300" s="13"/>
    </row>
    <row r="301" spans="1:16">
      <c r="A301" s="10">
        <v>298</v>
      </c>
      <c r="B301" s="13" t="s">
        <v>587</v>
      </c>
      <c r="C301" s="13" t="str">
        <f>"513021194012150456"</f>
        <v>513021194012150456</v>
      </c>
      <c r="D301" s="13" t="str">
        <f t="shared" si="20"/>
        <v>513021********0456</v>
      </c>
      <c r="E301" s="13" t="str">
        <f t="shared" si="23"/>
        <v>男</v>
      </c>
      <c r="F301" s="17">
        <f ca="1" t="shared" si="24"/>
        <v>84</v>
      </c>
      <c r="G301" s="13" t="s">
        <v>20</v>
      </c>
      <c r="H301" s="18">
        <v>240</v>
      </c>
      <c r="I301" s="13" t="s">
        <v>21</v>
      </c>
      <c r="J301" s="13" t="s">
        <v>415</v>
      </c>
      <c r="K301" s="13"/>
      <c r="L301" s="17"/>
      <c r="M301" s="13" t="s">
        <v>416</v>
      </c>
      <c r="N301" s="17"/>
      <c r="O301" s="13" t="s">
        <v>417</v>
      </c>
      <c r="P301" s="13">
        <v>1</v>
      </c>
    </row>
    <row r="302" spans="1:16">
      <c r="A302" s="10">
        <v>299</v>
      </c>
      <c r="B302" s="13" t="s">
        <v>588</v>
      </c>
      <c r="C302" s="13" t="str">
        <f>"513021196310030873"</f>
        <v>513021196310030873</v>
      </c>
      <c r="D302" s="13" t="str">
        <f t="shared" si="20"/>
        <v>513021********0873</v>
      </c>
      <c r="E302" s="13" t="str">
        <f t="shared" si="23"/>
        <v>男</v>
      </c>
      <c r="F302" s="17">
        <f ca="1" t="shared" si="24"/>
        <v>61</v>
      </c>
      <c r="G302" s="13" t="s">
        <v>20</v>
      </c>
      <c r="H302" s="18">
        <v>240</v>
      </c>
      <c r="I302" s="13" t="s">
        <v>21</v>
      </c>
      <c r="J302" s="13" t="s">
        <v>415</v>
      </c>
      <c r="K302" s="13"/>
      <c r="L302" s="17"/>
      <c r="M302" s="13" t="s">
        <v>416</v>
      </c>
      <c r="N302" s="17"/>
      <c r="O302" s="13" t="s">
        <v>417</v>
      </c>
      <c r="P302" s="13">
        <v>1</v>
      </c>
    </row>
    <row r="303" spans="1:16">
      <c r="A303" s="10">
        <v>300</v>
      </c>
      <c r="B303" s="13" t="s">
        <v>589</v>
      </c>
      <c r="C303" s="13" t="str">
        <f>"513021196010100446"</f>
        <v>513021196010100446</v>
      </c>
      <c r="D303" s="13" t="str">
        <f t="shared" si="20"/>
        <v>513021********0446</v>
      </c>
      <c r="E303" s="13" t="str">
        <f t="shared" si="23"/>
        <v>女</v>
      </c>
      <c r="F303" s="17">
        <f ca="1" t="shared" si="24"/>
        <v>64</v>
      </c>
      <c r="G303" s="13" t="s">
        <v>20</v>
      </c>
      <c r="H303" s="18">
        <v>480</v>
      </c>
      <c r="I303" s="13" t="s">
        <v>21</v>
      </c>
      <c r="J303" s="13" t="s">
        <v>415</v>
      </c>
      <c r="K303" s="13"/>
      <c r="L303" s="17" t="str">
        <f>VLOOKUP(C303,[1]Sheet1!$B$2:$U$630,20,0)</f>
        <v>肢体三级;</v>
      </c>
      <c r="M303" s="13" t="s">
        <v>416</v>
      </c>
      <c r="N303" s="17" t="s">
        <v>34</v>
      </c>
      <c r="O303" s="13"/>
      <c r="P303" s="13">
        <v>2</v>
      </c>
    </row>
    <row r="304" ht="15.6" spans="1:16">
      <c r="A304" s="10">
        <v>301</v>
      </c>
      <c r="B304" s="34" t="s">
        <v>590</v>
      </c>
      <c r="C304" s="34" t="s">
        <v>591</v>
      </c>
      <c r="D304" s="13" t="str">
        <f t="shared" si="20"/>
        <v>513021********0476</v>
      </c>
      <c r="E304" s="13" t="str">
        <f t="shared" si="23"/>
        <v>男</v>
      </c>
      <c r="F304" s="17">
        <f ca="1" t="shared" si="24"/>
        <v>67</v>
      </c>
      <c r="G304" s="13" t="s">
        <v>37</v>
      </c>
      <c r="H304" s="20"/>
      <c r="I304" s="13" t="s">
        <v>21</v>
      </c>
      <c r="J304" s="13" t="s">
        <v>415</v>
      </c>
      <c r="K304" s="13"/>
      <c r="L304" s="17"/>
      <c r="M304" s="13" t="s">
        <v>416</v>
      </c>
      <c r="N304" s="17" t="s">
        <v>34</v>
      </c>
      <c r="O304" s="13"/>
      <c r="P304" s="13"/>
    </row>
    <row r="305" spans="1:16">
      <c r="A305" s="10">
        <v>302</v>
      </c>
      <c r="B305" s="13" t="s">
        <v>592</v>
      </c>
      <c r="C305" s="13" t="str">
        <f>"513021193107140440"</f>
        <v>513021193107140440</v>
      </c>
      <c r="D305" s="13" t="str">
        <f t="shared" si="20"/>
        <v>513021********0440</v>
      </c>
      <c r="E305" s="13" t="str">
        <f t="shared" si="23"/>
        <v>女</v>
      </c>
      <c r="F305" s="17">
        <f ca="1" t="shared" si="24"/>
        <v>93</v>
      </c>
      <c r="G305" s="13" t="s">
        <v>20</v>
      </c>
      <c r="H305" s="18">
        <v>240</v>
      </c>
      <c r="I305" s="13" t="s">
        <v>21</v>
      </c>
      <c r="J305" s="13" t="s">
        <v>415</v>
      </c>
      <c r="K305" s="13"/>
      <c r="L305" s="17"/>
      <c r="M305" s="13" t="s">
        <v>416</v>
      </c>
      <c r="N305" s="17"/>
      <c r="O305" s="13" t="s">
        <v>417</v>
      </c>
      <c r="P305" s="13">
        <v>1</v>
      </c>
    </row>
    <row r="306" spans="1:16">
      <c r="A306" s="10">
        <v>303</v>
      </c>
      <c r="B306" s="13" t="s">
        <v>593</v>
      </c>
      <c r="C306" s="13" t="str">
        <f>"513021194403050452"</f>
        <v>513021194403050452</v>
      </c>
      <c r="D306" s="13" t="str">
        <f t="shared" si="20"/>
        <v>513021********0452</v>
      </c>
      <c r="E306" s="13" t="str">
        <f t="shared" si="23"/>
        <v>男</v>
      </c>
      <c r="F306" s="17">
        <f ca="1" t="shared" si="24"/>
        <v>80</v>
      </c>
      <c r="G306" s="13" t="s">
        <v>20</v>
      </c>
      <c r="H306" s="18">
        <v>240</v>
      </c>
      <c r="I306" s="13" t="s">
        <v>21</v>
      </c>
      <c r="J306" s="13" t="s">
        <v>415</v>
      </c>
      <c r="K306" s="13"/>
      <c r="L306" s="17"/>
      <c r="M306" s="13" t="s">
        <v>416</v>
      </c>
      <c r="N306" s="17"/>
      <c r="O306" s="13" t="s">
        <v>417</v>
      </c>
      <c r="P306" s="13">
        <v>1</v>
      </c>
    </row>
    <row r="307" spans="1:16">
      <c r="A307" s="10">
        <v>304</v>
      </c>
      <c r="B307" s="13" t="s">
        <v>594</v>
      </c>
      <c r="C307" s="13" t="str">
        <f>"513021193901300456"</f>
        <v>513021193901300456</v>
      </c>
      <c r="D307" s="13" t="str">
        <f t="shared" si="20"/>
        <v>513021********0456</v>
      </c>
      <c r="E307" s="13" t="str">
        <f t="shared" si="23"/>
        <v>男</v>
      </c>
      <c r="F307" s="17">
        <f ca="1" t="shared" si="24"/>
        <v>85</v>
      </c>
      <c r="G307" s="13" t="s">
        <v>20</v>
      </c>
      <c r="H307" s="18">
        <v>240</v>
      </c>
      <c r="I307" s="13" t="s">
        <v>21</v>
      </c>
      <c r="J307" s="13" t="s">
        <v>415</v>
      </c>
      <c r="K307" s="13"/>
      <c r="L307" s="17"/>
      <c r="M307" s="13" t="s">
        <v>416</v>
      </c>
      <c r="N307" s="17"/>
      <c r="O307" s="13" t="s">
        <v>417</v>
      </c>
      <c r="P307" s="13">
        <v>1</v>
      </c>
    </row>
    <row r="308" spans="1:16">
      <c r="A308" s="10">
        <v>305</v>
      </c>
      <c r="B308" s="13" t="s">
        <v>595</v>
      </c>
      <c r="C308" s="13" t="s">
        <v>596</v>
      </c>
      <c r="D308" s="13" t="str">
        <f t="shared" si="20"/>
        <v>513021********044X</v>
      </c>
      <c r="E308" s="13" t="str">
        <f t="shared" si="23"/>
        <v>女</v>
      </c>
      <c r="F308" s="17">
        <f ca="1" t="shared" si="24"/>
        <v>77</v>
      </c>
      <c r="G308" s="13" t="s">
        <v>20</v>
      </c>
      <c r="H308" s="18">
        <v>240</v>
      </c>
      <c r="I308" s="13" t="s">
        <v>21</v>
      </c>
      <c r="J308" s="13" t="s">
        <v>415</v>
      </c>
      <c r="K308" s="13"/>
      <c r="L308" s="17"/>
      <c r="M308" s="13" t="s">
        <v>416</v>
      </c>
      <c r="N308" s="17"/>
      <c r="O308" s="13" t="s">
        <v>417</v>
      </c>
      <c r="P308" s="13">
        <v>1</v>
      </c>
    </row>
    <row r="309" spans="1:16">
      <c r="A309" s="10">
        <v>306</v>
      </c>
      <c r="B309" s="13" t="s">
        <v>597</v>
      </c>
      <c r="C309" s="13" t="str">
        <f>"513021195101180440"</f>
        <v>513021195101180440</v>
      </c>
      <c r="D309" s="13" t="str">
        <f t="shared" si="20"/>
        <v>513021********0440</v>
      </c>
      <c r="E309" s="13" t="str">
        <f t="shared" si="23"/>
        <v>女</v>
      </c>
      <c r="F309" s="17">
        <f ca="1" t="shared" si="24"/>
        <v>73</v>
      </c>
      <c r="G309" s="13" t="s">
        <v>20</v>
      </c>
      <c r="H309" s="18">
        <v>240</v>
      </c>
      <c r="I309" s="13" t="s">
        <v>21</v>
      </c>
      <c r="J309" s="13" t="s">
        <v>415</v>
      </c>
      <c r="K309" s="13"/>
      <c r="L309" s="17"/>
      <c r="M309" s="13" t="s">
        <v>416</v>
      </c>
      <c r="N309" s="17"/>
      <c r="O309" s="13" t="s">
        <v>417</v>
      </c>
      <c r="P309" s="13">
        <v>1</v>
      </c>
    </row>
    <row r="310" spans="1:16">
      <c r="A310" s="10">
        <v>307</v>
      </c>
      <c r="B310" s="13" t="s">
        <v>598</v>
      </c>
      <c r="C310" s="13" t="str">
        <f>"513021194310190456"</f>
        <v>513021194310190456</v>
      </c>
      <c r="D310" s="13" t="str">
        <f t="shared" si="20"/>
        <v>513021********0456</v>
      </c>
      <c r="E310" s="13" t="str">
        <f t="shared" si="23"/>
        <v>男</v>
      </c>
      <c r="F310" s="17">
        <f ca="1" t="shared" si="24"/>
        <v>81</v>
      </c>
      <c r="G310" s="13" t="s">
        <v>20</v>
      </c>
      <c r="H310" s="18">
        <v>240</v>
      </c>
      <c r="I310" s="13" t="s">
        <v>21</v>
      </c>
      <c r="J310" s="13" t="s">
        <v>415</v>
      </c>
      <c r="K310" s="13"/>
      <c r="L310" s="17" t="str">
        <f>VLOOKUP(C310,[1]Sheet1!$B$2:$U$630,20,0)</f>
        <v>视力四级;</v>
      </c>
      <c r="M310" s="13" t="s">
        <v>416</v>
      </c>
      <c r="N310" s="17"/>
      <c r="O310" s="13" t="s">
        <v>417</v>
      </c>
      <c r="P310" s="13">
        <v>1</v>
      </c>
    </row>
    <row r="311" spans="1:16">
      <c r="A311" s="10">
        <v>308</v>
      </c>
      <c r="B311" s="13" t="s">
        <v>599</v>
      </c>
      <c r="C311" s="13" t="str">
        <f>"513021197109180452"</f>
        <v>513021197109180452</v>
      </c>
      <c r="D311" s="13" t="str">
        <f t="shared" si="20"/>
        <v>513021********0452</v>
      </c>
      <c r="E311" s="13" t="str">
        <f t="shared" si="23"/>
        <v>男</v>
      </c>
      <c r="F311" s="17">
        <f ca="1" t="shared" si="24"/>
        <v>53</v>
      </c>
      <c r="G311" s="13" t="s">
        <v>20</v>
      </c>
      <c r="H311" s="18">
        <v>380</v>
      </c>
      <c r="I311" s="13" t="s">
        <v>21</v>
      </c>
      <c r="J311" s="13" t="s">
        <v>415</v>
      </c>
      <c r="K311" s="13"/>
      <c r="L311" s="17" t="str">
        <f>VLOOKUP(C311,[1]Sheet1!$B$2:$U$630,20,0)</f>
        <v>肢体四级;</v>
      </c>
      <c r="M311" s="13" t="s">
        <v>416</v>
      </c>
      <c r="N311" s="17" t="s">
        <v>34</v>
      </c>
      <c r="O311" s="13" t="s">
        <v>417</v>
      </c>
      <c r="P311" s="13">
        <v>1</v>
      </c>
    </row>
    <row r="312" spans="1:16">
      <c r="A312" s="10">
        <v>309</v>
      </c>
      <c r="B312" s="13" t="s">
        <v>600</v>
      </c>
      <c r="C312" s="13" t="str">
        <f>"513021195602050441"</f>
        <v>513021195602050441</v>
      </c>
      <c r="D312" s="13" t="str">
        <f t="shared" si="20"/>
        <v>513021********0441</v>
      </c>
      <c r="E312" s="13" t="str">
        <f t="shared" si="23"/>
        <v>女</v>
      </c>
      <c r="F312" s="17">
        <f ca="1" t="shared" si="24"/>
        <v>68</v>
      </c>
      <c r="G312" s="13" t="s">
        <v>20</v>
      </c>
      <c r="H312" s="18">
        <v>220</v>
      </c>
      <c r="I312" s="13" t="s">
        <v>21</v>
      </c>
      <c r="J312" s="13" t="s">
        <v>415</v>
      </c>
      <c r="K312" s="13"/>
      <c r="L312" s="17" t="str">
        <f>VLOOKUP(C312,[1]Sheet1!$B$2:$U$630,20,0)</f>
        <v>肢体四级;</v>
      </c>
      <c r="M312" s="13" t="s">
        <v>416</v>
      </c>
      <c r="N312" s="17" t="s">
        <v>34</v>
      </c>
      <c r="O312" s="13"/>
      <c r="P312" s="13">
        <v>2</v>
      </c>
    </row>
    <row r="313" ht="15.6" spans="1:16">
      <c r="A313" s="10">
        <v>310</v>
      </c>
      <c r="B313" s="34" t="s">
        <v>601</v>
      </c>
      <c r="C313" s="34" t="s">
        <v>602</v>
      </c>
      <c r="D313" s="13" t="str">
        <f t="shared" si="20"/>
        <v>513021********0476</v>
      </c>
      <c r="E313" s="13" t="str">
        <f t="shared" si="23"/>
        <v>男</v>
      </c>
      <c r="F313" s="17">
        <f ca="1" t="shared" si="24"/>
        <v>46</v>
      </c>
      <c r="G313" s="13" t="s">
        <v>434</v>
      </c>
      <c r="H313" s="20"/>
      <c r="I313" s="13" t="s">
        <v>21</v>
      </c>
      <c r="J313" s="13" t="s">
        <v>415</v>
      </c>
      <c r="K313" s="13"/>
      <c r="L313" s="17"/>
      <c r="M313" s="13" t="s">
        <v>416</v>
      </c>
      <c r="N313" s="17" t="s">
        <v>34</v>
      </c>
      <c r="O313" s="13"/>
      <c r="P313" s="13"/>
    </row>
    <row r="314" spans="1:16">
      <c r="A314" s="10">
        <v>311</v>
      </c>
      <c r="B314" s="13" t="s">
        <v>603</v>
      </c>
      <c r="C314" s="13" t="str">
        <f>"513021195202160465"</f>
        <v>513021195202160465</v>
      </c>
      <c r="D314" s="13" t="str">
        <f t="shared" si="20"/>
        <v>513021********0465</v>
      </c>
      <c r="E314" s="13" t="str">
        <f t="shared" si="23"/>
        <v>女</v>
      </c>
      <c r="F314" s="17">
        <f ca="1" t="shared" si="24"/>
        <v>72</v>
      </c>
      <c r="G314" s="13" t="s">
        <v>20</v>
      </c>
      <c r="H314" s="18">
        <v>240</v>
      </c>
      <c r="I314" s="13" t="s">
        <v>21</v>
      </c>
      <c r="J314" s="13" t="s">
        <v>415</v>
      </c>
      <c r="K314" s="13"/>
      <c r="L314" s="17"/>
      <c r="M314" s="13" t="s">
        <v>416</v>
      </c>
      <c r="N314" s="17"/>
      <c r="O314" s="13" t="s">
        <v>417</v>
      </c>
      <c r="P314" s="13">
        <v>1</v>
      </c>
    </row>
    <row r="315" spans="1:16">
      <c r="A315" s="10">
        <v>312</v>
      </c>
      <c r="B315" s="13" t="s">
        <v>604</v>
      </c>
      <c r="C315" s="13" t="str">
        <f>"513021195209250447"</f>
        <v>513021195209250447</v>
      </c>
      <c r="D315" s="13" t="str">
        <f t="shared" si="20"/>
        <v>513021********0447</v>
      </c>
      <c r="E315" s="13" t="str">
        <f t="shared" si="23"/>
        <v>女</v>
      </c>
      <c r="F315" s="17">
        <f ca="1" t="shared" si="24"/>
        <v>72</v>
      </c>
      <c r="G315" s="13" t="s">
        <v>20</v>
      </c>
      <c r="H315" s="18">
        <v>240</v>
      </c>
      <c r="I315" s="13" t="s">
        <v>21</v>
      </c>
      <c r="J315" s="13" t="s">
        <v>415</v>
      </c>
      <c r="K315" s="13"/>
      <c r="L315" s="17"/>
      <c r="M315" s="13" t="s">
        <v>416</v>
      </c>
      <c r="N315" s="17"/>
      <c r="O315" s="13" t="s">
        <v>417</v>
      </c>
      <c r="P315" s="13">
        <v>1</v>
      </c>
    </row>
    <row r="316" spans="1:16">
      <c r="A316" s="10">
        <v>313</v>
      </c>
      <c r="B316" s="13" t="s">
        <v>605</v>
      </c>
      <c r="C316" s="13" t="str">
        <f>"513021195205080444"</f>
        <v>513021195205080444</v>
      </c>
      <c r="D316" s="13" t="str">
        <f t="shared" si="20"/>
        <v>513021********0444</v>
      </c>
      <c r="E316" s="13" t="str">
        <f t="shared" si="23"/>
        <v>女</v>
      </c>
      <c r="F316" s="17">
        <f ca="1" t="shared" si="24"/>
        <v>72</v>
      </c>
      <c r="G316" s="13" t="s">
        <v>20</v>
      </c>
      <c r="H316" s="18">
        <v>240</v>
      </c>
      <c r="I316" s="13" t="s">
        <v>21</v>
      </c>
      <c r="J316" s="13" t="s">
        <v>415</v>
      </c>
      <c r="K316" s="13"/>
      <c r="L316" s="17"/>
      <c r="M316" s="13" t="s">
        <v>416</v>
      </c>
      <c r="N316" s="17"/>
      <c r="O316" s="13" t="s">
        <v>417</v>
      </c>
      <c r="P316" s="13">
        <v>1</v>
      </c>
    </row>
    <row r="317" spans="1:16">
      <c r="A317" s="10">
        <v>314</v>
      </c>
      <c r="B317" s="13" t="s">
        <v>606</v>
      </c>
      <c r="C317" s="13" t="str">
        <f>"513021193711060455"</f>
        <v>513021193711060455</v>
      </c>
      <c r="D317" s="13" t="str">
        <f t="shared" si="20"/>
        <v>513021********0455</v>
      </c>
      <c r="E317" s="13" t="str">
        <f t="shared" si="23"/>
        <v>男</v>
      </c>
      <c r="F317" s="17">
        <f ca="1" t="shared" si="24"/>
        <v>87</v>
      </c>
      <c r="G317" s="13" t="s">
        <v>20</v>
      </c>
      <c r="H317" s="18">
        <v>240</v>
      </c>
      <c r="I317" s="13" t="s">
        <v>21</v>
      </c>
      <c r="J317" s="13" t="s">
        <v>415</v>
      </c>
      <c r="K317" s="13"/>
      <c r="L317" s="17"/>
      <c r="M317" s="13" t="s">
        <v>416</v>
      </c>
      <c r="N317" s="17"/>
      <c r="O317" s="13" t="s">
        <v>417</v>
      </c>
      <c r="P317" s="13">
        <v>1</v>
      </c>
    </row>
    <row r="318" spans="1:16">
      <c r="A318" s="10">
        <v>315</v>
      </c>
      <c r="B318" s="13" t="s">
        <v>607</v>
      </c>
      <c r="C318" s="13" t="str">
        <f>"513021195506130441"</f>
        <v>513021195506130441</v>
      </c>
      <c r="D318" s="13" t="str">
        <f t="shared" si="20"/>
        <v>513021********0441</v>
      </c>
      <c r="E318" s="13" t="str">
        <f t="shared" si="23"/>
        <v>女</v>
      </c>
      <c r="F318" s="17">
        <f ca="1" t="shared" si="24"/>
        <v>69</v>
      </c>
      <c r="G318" s="13" t="s">
        <v>20</v>
      </c>
      <c r="H318" s="18">
        <v>240</v>
      </c>
      <c r="I318" s="13" t="s">
        <v>21</v>
      </c>
      <c r="J318" s="13" t="s">
        <v>415</v>
      </c>
      <c r="K318" s="13"/>
      <c r="L318" s="17"/>
      <c r="M318" s="13" t="s">
        <v>416</v>
      </c>
      <c r="N318" s="17"/>
      <c r="O318" s="13" t="s">
        <v>417</v>
      </c>
      <c r="P318" s="13">
        <v>1</v>
      </c>
    </row>
    <row r="319" spans="1:16">
      <c r="A319" s="10">
        <v>316</v>
      </c>
      <c r="B319" s="13" t="s">
        <v>608</v>
      </c>
      <c r="C319" s="13" t="str">
        <f>"513021198510190475"</f>
        <v>513021198510190475</v>
      </c>
      <c r="D319" s="13" t="str">
        <f t="shared" si="20"/>
        <v>513021********0475</v>
      </c>
      <c r="E319" s="13" t="str">
        <f t="shared" si="23"/>
        <v>男</v>
      </c>
      <c r="F319" s="17">
        <f ca="1" t="shared" si="24"/>
        <v>39</v>
      </c>
      <c r="G319" s="13" t="s">
        <v>20</v>
      </c>
      <c r="H319" s="18">
        <v>240</v>
      </c>
      <c r="I319" s="13" t="s">
        <v>21</v>
      </c>
      <c r="J319" s="13" t="s">
        <v>415</v>
      </c>
      <c r="K319" s="13"/>
      <c r="L319" s="17"/>
      <c r="M319" s="13" t="s">
        <v>416</v>
      </c>
      <c r="N319" s="17"/>
      <c r="O319" s="13" t="s">
        <v>417</v>
      </c>
      <c r="P319" s="13">
        <v>1</v>
      </c>
    </row>
    <row r="320" spans="1:16">
      <c r="A320" s="10">
        <v>317</v>
      </c>
      <c r="B320" s="13" t="s">
        <v>609</v>
      </c>
      <c r="C320" s="13" t="str">
        <f>"513021199307290459"</f>
        <v>513021199307290459</v>
      </c>
      <c r="D320" s="13" t="str">
        <f t="shared" si="20"/>
        <v>513021********0459</v>
      </c>
      <c r="E320" s="13" t="str">
        <f t="shared" si="23"/>
        <v>男</v>
      </c>
      <c r="F320" s="17">
        <f ca="1" t="shared" si="24"/>
        <v>31</v>
      </c>
      <c r="G320" s="13" t="s">
        <v>20</v>
      </c>
      <c r="H320" s="18">
        <v>220</v>
      </c>
      <c r="I320" s="13" t="s">
        <v>21</v>
      </c>
      <c r="J320" s="13" t="s">
        <v>415</v>
      </c>
      <c r="K320" s="13"/>
      <c r="L320" s="17"/>
      <c r="M320" s="13" t="s">
        <v>416</v>
      </c>
      <c r="N320" s="17" t="s">
        <v>34</v>
      </c>
      <c r="O320" s="13"/>
      <c r="P320" s="13">
        <v>3</v>
      </c>
    </row>
    <row r="321" ht="15.6" spans="1:16">
      <c r="A321" s="10">
        <v>318</v>
      </c>
      <c r="B321" s="34" t="s">
        <v>610</v>
      </c>
      <c r="C321" s="34" t="s">
        <v>611</v>
      </c>
      <c r="D321" s="13" t="str">
        <f t="shared" si="20"/>
        <v>513021********0444</v>
      </c>
      <c r="E321" s="13" t="str">
        <f t="shared" si="23"/>
        <v>女</v>
      </c>
      <c r="F321" s="17">
        <f ca="1" t="shared" si="24"/>
        <v>51</v>
      </c>
      <c r="G321" s="13" t="s">
        <v>434</v>
      </c>
      <c r="H321" s="20"/>
      <c r="I321" s="13" t="s">
        <v>21</v>
      </c>
      <c r="J321" s="13" t="s">
        <v>415</v>
      </c>
      <c r="K321" s="13"/>
      <c r="L321" s="17"/>
      <c r="M321" s="13" t="s">
        <v>416</v>
      </c>
      <c r="N321" s="17" t="s">
        <v>34</v>
      </c>
      <c r="O321" s="13"/>
      <c r="P321" s="13"/>
    </row>
    <row r="322" ht="15.6" spans="1:16">
      <c r="A322" s="10">
        <v>319</v>
      </c>
      <c r="B322" s="34" t="s">
        <v>612</v>
      </c>
      <c r="C322" s="34" t="s">
        <v>613</v>
      </c>
      <c r="D322" s="13" t="str">
        <f t="shared" si="20"/>
        <v>511721********5724</v>
      </c>
      <c r="E322" s="13" t="str">
        <f t="shared" si="23"/>
        <v>女</v>
      </c>
      <c r="F322" s="17">
        <f ca="1" t="shared" si="24"/>
        <v>18</v>
      </c>
      <c r="G322" s="13" t="s">
        <v>614</v>
      </c>
      <c r="H322" s="20"/>
      <c r="I322" s="13" t="s">
        <v>21</v>
      </c>
      <c r="J322" s="13" t="s">
        <v>415</v>
      </c>
      <c r="K322" s="13"/>
      <c r="L322" s="17"/>
      <c r="M322" s="13" t="s">
        <v>416</v>
      </c>
      <c r="N322" s="17" t="s">
        <v>34</v>
      </c>
      <c r="O322" s="13"/>
      <c r="P322" s="13"/>
    </row>
    <row r="323" spans="1:16">
      <c r="A323" s="10">
        <v>320</v>
      </c>
      <c r="B323" s="13" t="s">
        <v>615</v>
      </c>
      <c r="C323" s="13" t="str">
        <f>"513021196010280459"</f>
        <v>513021196010280459</v>
      </c>
      <c r="D323" s="13" t="str">
        <f t="shared" si="20"/>
        <v>513021********0459</v>
      </c>
      <c r="E323" s="13" t="str">
        <f t="shared" si="23"/>
        <v>男</v>
      </c>
      <c r="F323" s="17">
        <f ca="1" t="shared" si="24"/>
        <v>64</v>
      </c>
      <c r="G323" s="13" t="s">
        <v>20</v>
      </c>
      <c r="H323" s="18">
        <v>240</v>
      </c>
      <c r="I323" s="13" t="s">
        <v>21</v>
      </c>
      <c r="J323" s="13" t="s">
        <v>415</v>
      </c>
      <c r="K323" s="13"/>
      <c r="L323" s="17"/>
      <c r="M323" s="13" t="s">
        <v>416</v>
      </c>
      <c r="N323" s="17"/>
      <c r="O323" s="13" t="s">
        <v>417</v>
      </c>
      <c r="P323" s="13">
        <v>1</v>
      </c>
    </row>
    <row r="324" spans="1:16">
      <c r="A324" s="10">
        <v>321</v>
      </c>
      <c r="B324" s="13" t="s">
        <v>616</v>
      </c>
      <c r="C324" s="13" t="str">
        <f>"513021193011200445"</f>
        <v>513021193011200445</v>
      </c>
      <c r="D324" s="13" t="str">
        <f t="shared" si="20"/>
        <v>513021********0445</v>
      </c>
      <c r="E324" s="13" t="str">
        <f t="shared" si="23"/>
        <v>女</v>
      </c>
      <c r="F324" s="17">
        <f ca="1" t="shared" si="24"/>
        <v>94</v>
      </c>
      <c r="G324" s="13" t="s">
        <v>20</v>
      </c>
      <c r="H324" s="18">
        <v>240</v>
      </c>
      <c r="I324" s="13" t="s">
        <v>21</v>
      </c>
      <c r="J324" s="13" t="s">
        <v>415</v>
      </c>
      <c r="K324" s="13"/>
      <c r="L324" s="17"/>
      <c r="M324" s="13" t="s">
        <v>416</v>
      </c>
      <c r="N324" s="17"/>
      <c r="O324" s="13" t="s">
        <v>417</v>
      </c>
      <c r="P324" s="13">
        <v>1</v>
      </c>
    </row>
    <row r="325" spans="1:16">
      <c r="A325" s="10">
        <v>322</v>
      </c>
      <c r="B325" s="13" t="s">
        <v>617</v>
      </c>
      <c r="C325" s="13" t="str">
        <f>"513021193410060451"</f>
        <v>513021193410060451</v>
      </c>
      <c r="D325" s="13" t="str">
        <f t="shared" ref="D325:D388" si="25">REPLACE(C325,7,8,"********")</f>
        <v>513021********0451</v>
      </c>
      <c r="E325" s="13" t="str">
        <f t="shared" si="23"/>
        <v>男</v>
      </c>
      <c r="F325" s="17">
        <f ca="1" t="shared" si="24"/>
        <v>90</v>
      </c>
      <c r="G325" s="13" t="s">
        <v>20</v>
      </c>
      <c r="H325" s="18">
        <v>240</v>
      </c>
      <c r="I325" s="13" t="s">
        <v>21</v>
      </c>
      <c r="J325" s="13" t="s">
        <v>415</v>
      </c>
      <c r="K325" s="13"/>
      <c r="L325" s="17"/>
      <c r="M325" s="13" t="s">
        <v>416</v>
      </c>
      <c r="N325" s="17"/>
      <c r="O325" s="13" t="s">
        <v>417</v>
      </c>
      <c r="P325" s="13">
        <v>1</v>
      </c>
    </row>
    <row r="326" spans="1:16">
      <c r="A326" s="10">
        <v>323</v>
      </c>
      <c r="B326" s="13" t="s">
        <v>618</v>
      </c>
      <c r="C326" s="13" t="str">
        <f>"513021194307040449"</f>
        <v>513021194307040449</v>
      </c>
      <c r="D326" s="13" t="str">
        <f t="shared" si="25"/>
        <v>513021********0449</v>
      </c>
      <c r="E326" s="13" t="str">
        <f t="shared" si="23"/>
        <v>女</v>
      </c>
      <c r="F326" s="17">
        <f ca="1" t="shared" si="24"/>
        <v>81</v>
      </c>
      <c r="G326" s="13" t="s">
        <v>20</v>
      </c>
      <c r="H326" s="18">
        <v>240</v>
      </c>
      <c r="I326" s="13" t="s">
        <v>21</v>
      </c>
      <c r="J326" s="13" t="s">
        <v>415</v>
      </c>
      <c r="K326" s="13"/>
      <c r="L326" s="17"/>
      <c r="M326" s="13" t="s">
        <v>416</v>
      </c>
      <c r="N326" s="17"/>
      <c r="O326" s="13" t="s">
        <v>417</v>
      </c>
      <c r="P326" s="13">
        <v>1</v>
      </c>
    </row>
    <row r="327" spans="1:16">
      <c r="A327" s="10">
        <v>324</v>
      </c>
      <c r="B327" s="13" t="s">
        <v>619</v>
      </c>
      <c r="C327" s="13" t="str">
        <f>"513021194811280441"</f>
        <v>513021194811280441</v>
      </c>
      <c r="D327" s="13" t="str">
        <f t="shared" si="25"/>
        <v>513021********0441</v>
      </c>
      <c r="E327" s="13" t="str">
        <f t="shared" si="23"/>
        <v>女</v>
      </c>
      <c r="F327" s="17">
        <f ca="1" t="shared" si="24"/>
        <v>76</v>
      </c>
      <c r="G327" s="13" t="s">
        <v>20</v>
      </c>
      <c r="H327" s="18">
        <v>240</v>
      </c>
      <c r="I327" s="13" t="s">
        <v>21</v>
      </c>
      <c r="J327" s="13" t="s">
        <v>415</v>
      </c>
      <c r="K327" s="13"/>
      <c r="L327" s="17" t="str">
        <f>VLOOKUP(C327,[1]Sheet1!$B$2:$U$630,20,0)</f>
        <v>肢体四级;</v>
      </c>
      <c r="M327" s="13" t="s">
        <v>416</v>
      </c>
      <c r="N327" s="17"/>
      <c r="O327" s="13" t="s">
        <v>417</v>
      </c>
      <c r="P327" s="13">
        <v>1</v>
      </c>
    </row>
    <row r="328" spans="1:16">
      <c r="A328" s="10">
        <v>325</v>
      </c>
      <c r="B328" s="13" t="s">
        <v>620</v>
      </c>
      <c r="C328" s="13" t="str">
        <f>"513021195410230448"</f>
        <v>513021195410230448</v>
      </c>
      <c r="D328" s="13" t="str">
        <f t="shared" si="25"/>
        <v>513021********0448</v>
      </c>
      <c r="E328" s="13" t="str">
        <f t="shared" si="23"/>
        <v>女</v>
      </c>
      <c r="F328" s="17">
        <f ca="1" t="shared" si="24"/>
        <v>70</v>
      </c>
      <c r="G328" s="13" t="s">
        <v>20</v>
      </c>
      <c r="H328" s="18">
        <v>240</v>
      </c>
      <c r="I328" s="13" t="s">
        <v>21</v>
      </c>
      <c r="J328" s="13" t="s">
        <v>415</v>
      </c>
      <c r="K328" s="13"/>
      <c r="L328" s="17" t="str">
        <f>VLOOKUP(C328,[1]Sheet1!$B$2:$U$630,20,0)</f>
        <v>视力四级;</v>
      </c>
      <c r="M328" s="13" t="s">
        <v>416</v>
      </c>
      <c r="N328" s="17"/>
      <c r="O328" s="13" t="s">
        <v>417</v>
      </c>
      <c r="P328" s="13">
        <v>1</v>
      </c>
    </row>
    <row r="329" spans="1:16">
      <c r="A329" s="10">
        <v>326</v>
      </c>
      <c r="B329" s="13" t="s">
        <v>621</v>
      </c>
      <c r="C329" s="13" t="str">
        <f>"513021193811295729"</f>
        <v>513021193811295729</v>
      </c>
      <c r="D329" s="13" t="str">
        <f t="shared" si="25"/>
        <v>513021********5729</v>
      </c>
      <c r="E329" s="13" t="str">
        <f t="shared" si="23"/>
        <v>女</v>
      </c>
      <c r="F329" s="17">
        <f ca="1" t="shared" si="24"/>
        <v>86</v>
      </c>
      <c r="G329" s="13" t="s">
        <v>20</v>
      </c>
      <c r="H329" s="18">
        <v>240</v>
      </c>
      <c r="I329" s="13" t="s">
        <v>21</v>
      </c>
      <c r="J329" s="13" t="s">
        <v>415</v>
      </c>
      <c r="K329" s="13"/>
      <c r="L329" s="17"/>
      <c r="M329" s="13" t="s">
        <v>416</v>
      </c>
      <c r="N329" s="17"/>
      <c r="O329" s="13" t="s">
        <v>417</v>
      </c>
      <c r="P329" s="13">
        <v>1</v>
      </c>
    </row>
    <row r="330" spans="1:16">
      <c r="A330" s="10">
        <v>327</v>
      </c>
      <c r="B330" s="13" t="s">
        <v>622</v>
      </c>
      <c r="C330" s="13" t="str">
        <f>"513021194201280452"</f>
        <v>513021194201280452</v>
      </c>
      <c r="D330" s="13" t="str">
        <f t="shared" si="25"/>
        <v>513021********0452</v>
      </c>
      <c r="E330" s="13" t="str">
        <f t="shared" si="23"/>
        <v>男</v>
      </c>
      <c r="F330" s="17">
        <f ca="1" t="shared" si="24"/>
        <v>82</v>
      </c>
      <c r="G330" s="13" t="s">
        <v>20</v>
      </c>
      <c r="H330" s="18">
        <v>240</v>
      </c>
      <c r="I330" s="13" t="s">
        <v>21</v>
      </c>
      <c r="J330" s="13" t="s">
        <v>415</v>
      </c>
      <c r="K330" s="13"/>
      <c r="L330" s="17" t="str">
        <f>VLOOKUP(C330,[1]Sheet1!$B$2:$U$630,20,0)</f>
        <v>肢体四级;</v>
      </c>
      <c r="M330" s="13" t="s">
        <v>416</v>
      </c>
      <c r="N330" s="17"/>
      <c r="O330" s="13" t="s">
        <v>417</v>
      </c>
      <c r="P330" s="13">
        <v>1</v>
      </c>
    </row>
    <row r="331" spans="1:16">
      <c r="A331" s="10">
        <v>328</v>
      </c>
      <c r="B331" s="13" t="s">
        <v>623</v>
      </c>
      <c r="C331" s="13" t="str">
        <f>"513021194104110451"</f>
        <v>513021194104110451</v>
      </c>
      <c r="D331" s="13" t="str">
        <f t="shared" si="25"/>
        <v>513021********0451</v>
      </c>
      <c r="E331" s="13" t="str">
        <f t="shared" si="23"/>
        <v>男</v>
      </c>
      <c r="F331" s="17">
        <f ca="1" t="shared" si="24"/>
        <v>83</v>
      </c>
      <c r="G331" s="13" t="s">
        <v>20</v>
      </c>
      <c r="H331" s="18">
        <v>240</v>
      </c>
      <c r="I331" s="13" t="s">
        <v>21</v>
      </c>
      <c r="J331" s="13" t="s">
        <v>415</v>
      </c>
      <c r="K331" s="13"/>
      <c r="L331" s="17"/>
      <c r="M331" s="13" t="s">
        <v>416</v>
      </c>
      <c r="N331" s="17"/>
      <c r="O331" s="13" t="s">
        <v>417</v>
      </c>
      <c r="P331" s="13">
        <v>1</v>
      </c>
    </row>
    <row r="332" spans="1:16">
      <c r="A332" s="10">
        <v>329</v>
      </c>
      <c r="B332" s="13" t="s">
        <v>624</v>
      </c>
      <c r="C332" s="13" t="str">
        <f>"513021194310070446"</f>
        <v>513021194310070446</v>
      </c>
      <c r="D332" s="13" t="str">
        <f t="shared" si="25"/>
        <v>513021********0446</v>
      </c>
      <c r="E332" s="13" t="str">
        <f t="shared" si="23"/>
        <v>女</v>
      </c>
      <c r="F332" s="17">
        <f ca="1" t="shared" si="24"/>
        <v>81</v>
      </c>
      <c r="G332" s="13" t="s">
        <v>20</v>
      </c>
      <c r="H332" s="18">
        <v>240</v>
      </c>
      <c r="I332" s="13" t="s">
        <v>21</v>
      </c>
      <c r="J332" s="13" t="s">
        <v>415</v>
      </c>
      <c r="K332" s="13"/>
      <c r="L332" s="17"/>
      <c r="M332" s="13" t="s">
        <v>416</v>
      </c>
      <c r="N332" s="17"/>
      <c r="O332" s="13" t="s">
        <v>417</v>
      </c>
      <c r="P332" s="13">
        <v>1</v>
      </c>
    </row>
    <row r="333" spans="1:16">
      <c r="A333" s="10">
        <v>330</v>
      </c>
      <c r="B333" s="13" t="s">
        <v>625</v>
      </c>
      <c r="C333" s="13" t="str">
        <f>"513021194710090446"</f>
        <v>513021194710090446</v>
      </c>
      <c r="D333" s="13" t="str">
        <f t="shared" si="25"/>
        <v>513021********0446</v>
      </c>
      <c r="E333" s="13" t="str">
        <f t="shared" si="23"/>
        <v>女</v>
      </c>
      <c r="F333" s="17">
        <f ca="1" t="shared" si="24"/>
        <v>77</v>
      </c>
      <c r="G333" s="13" t="s">
        <v>20</v>
      </c>
      <c r="H333" s="18">
        <v>440</v>
      </c>
      <c r="I333" s="13" t="s">
        <v>21</v>
      </c>
      <c r="J333" s="13" t="s">
        <v>415</v>
      </c>
      <c r="K333" s="13"/>
      <c r="L333" s="17" t="str">
        <f>VLOOKUP(C333,[1]Sheet1!$B$2:$U$630,20,0)</f>
        <v>听力三级;</v>
      </c>
      <c r="M333" s="13" t="s">
        <v>416</v>
      </c>
      <c r="N333" s="17" t="s">
        <v>34</v>
      </c>
      <c r="O333" s="13"/>
      <c r="P333" s="13">
        <v>5</v>
      </c>
    </row>
    <row r="334" ht="15.6" spans="1:16">
      <c r="A334" s="10">
        <v>331</v>
      </c>
      <c r="B334" s="34" t="s">
        <v>626</v>
      </c>
      <c r="C334" s="34" t="s">
        <v>627</v>
      </c>
      <c r="D334" s="13" t="str">
        <f t="shared" si="25"/>
        <v>513021********0450</v>
      </c>
      <c r="E334" s="13" t="str">
        <f t="shared" si="23"/>
        <v>男</v>
      </c>
      <c r="F334" s="17">
        <f ca="1" t="shared" si="24"/>
        <v>57</v>
      </c>
      <c r="G334" s="13" t="s">
        <v>475</v>
      </c>
      <c r="H334" s="20"/>
      <c r="I334" s="13" t="s">
        <v>21</v>
      </c>
      <c r="J334" s="13" t="s">
        <v>415</v>
      </c>
      <c r="K334" s="13"/>
      <c r="L334" s="17" t="str">
        <f>VLOOKUP(C334,[1]Sheet1!$B$2:$U$630,20,0)</f>
        <v>肢体四级;</v>
      </c>
      <c r="M334" s="13" t="s">
        <v>416</v>
      </c>
      <c r="N334" s="17" t="s">
        <v>34</v>
      </c>
      <c r="O334" s="13"/>
      <c r="P334" s="13"/>
    </row>
    <row r="335" ht="15.6" spans="1:16">
      <c r="A335" s="10">
        <v>332</v>
      </c>
      <c r="B335" s="34" t="s">
        <v>628</v>
      </c>
      <c r="C335" s="34" t="s">
        <v>629</v>
      </c>
      <c r="D335" s="13" t="str">
        <f t="shared" si="25"/>
        <v>513021********6100</v>
      </c>
      <c r="E335" s="13" t="str">
        <f t="shared" si="23"/>
        <v>女</v>
      </c>
      <c r="F335" s="17">
        <f ca="1" t="shared" si="24"/>
        <v>54</v>
      </c>
      <c r="G335" s="13" t="s">
        <v>437</v>
      </c>
      <c r="H335" s="20"/>
      <c r="I335" s="13" t="s">
        <v>21</v>
      </c>
      <c r="J335" s="13" t="s">
        <v>415</v>
      </c>
      <c r="K335" s="13"/>
      <c r="L335" s="17"/>
      <c r="M335" s="13" t="s">
        <v>416</v>
      </c>
      <c r="N335" s="17" t="s">
        <v>34</v>
      </c>
      <c r="O335" s="13"/>
      <c r="P335" s="13"/>
    </row>
    <row r="336" ht="15.6" spans="1:16">
      <c r="A336" s="10">
        <v>333</v>
      </c>
      <c r="B336" s="34" t="s">
        <v>630</v>
      </c>
      <c r="C336" s="34" t="s">
        <v>631</v>
      </c>
      <c r="D336" s="13" t="str">
        <f t="shared" si="25"/>
        <v>513021********0451</v>
      </c>
      <c r="E336" s="13" t="str">
        <f t="shared" si="23"/>
        <v>男</v>
      </c>
      <c r="F336" s="17">
        <f ca="1" t="shared" si="24"/>
        <v>33</v>
      </c>
      <c r="G336" s="13" t="s">
        <v>440</v>
      </c>
      <c r="H336" s="20"/>
      <c r="I336" s="13" t="s">
        <v>21</v>
      </c>
      <c r="J336" s="13" t="s">
        <v>415</v>
      </c>
      <c r="K336" s="13"/>
      <c r="L336" s="17"/>
      <c r="M336" s="13" t="s">
        <v>416</v>
      </c>
      <c r="N336" s="17" t="s">
        <v>34</v>
      </c>
      <c r="O336" s="13"/>
      <c r="P336" s="13"/>
    </row>
    <row r="337" ht="15.6" spans="1:16">
      <c r="A337" s="10">
        <v>334</v>
      </c>
      <c r="B337" s="34" t="s">
        <v>632</v>
      </c>
      <c r="C337" s="34" t="s">
        <v>633</v>
      </c>
      <c r="D337" s="13" t="str">
        <f t="shared" si="25"/>
        <v>511721********5720</v>
      </c>
      <c r="E337" s="13" t="str">
        <f t="shared" si="23"/>
        <v>女</v>
      </c>
      <c r="F337" s="17">
        <f ca="1" t="shared" si="24"/>
        <v>20</v>
      </c>
      <c r="G337" s="13" t="s">
        <v>440</v>
      </c>
      <c r="H337" s="20"/>
      <c r="I337" s="13" t="s">
        <v>21</v>
      </c>
      <c r="J337" s="13" t="s">
        <v>415</v>
      </c>
      <c r="K337" s="13"/>
      <c r="L337" s="17"/>
      <c r="M337" s="13" t="s">
        <v>416</v>
      </c>
      <c r="N337" s="17" t="s">
        <v>34</v>
      </c>
      <c r="O337" s="13"/>
      <c r="P337" s="13"/>
    </row>
    <row r="338" spans="1:16">
      <c r="A338" s="10">
        <v>335</v>
      </c>
      <c r="B338" s="13" t="s">
        <v>634</v>
      </c>
      <c r="C338" s="13" t="str">
        <f>"513021195705010450"</f>
        <v>513021195705010450</v>
      </c>
      <c r="D338" s="13" t="str">
        <f t="shared" si="25"/>
        <v>513021********0450</v>
      </c>
      <c r="E338" s="13" t="str">
        <f t="shared" si="23"/>
        <v>男</v>
      </c>
      <c r="F338" s="17">
        <f ca="1" t="shared" si="24"/>
        <v>67</v>
      </c>
      <c r="G338" s="13" t="s">
        <v>20</v>
      </c>
      <c r="H338" s="18">
        <v>220</v>
      </c>
      <c r="I338" s="13" t="s">
        <v>21</v>
      </c>
      <c r="J338" s="13" t="s">
        <v>415</v>
      </c>
      <c r="K338" s="13"/>
      <c r="L338" s="17"/>
      <c r="M338" s="13" t="s">
        <v>416</v>
      </c>
      <c r="N338" s="17" t="s">
        <v>34</v>
      </c>
      <c r="O338" s="13"/>
      <c r="P338" s="13">
        <v>1</v>
      </c>
    </row>
    <row r="339" spans="1:16">
      <c r="A339" s="10">
        <v>336</v>
      </c>
      <c r="B339" s="13" t="s">
        <v>635</v>
      </c>
      <c r="C339" s="13" t="str">
        <f>"513021195512280454"</f>
        <v>513021195512280454</v>
      </c>
      <c r="D339" s="13" t="str">
        <f t="shared" si="25"/>
        <v>513021********0454</v>
      </c>
      <c r="E339" s="13" t="str">
        <f t="shared" si="23"/>
        <v>男</v>
      </c>
      <c r="F339" s="17">
        <f ca="1" t="shared" si="24"/>
        <v>69</v>
      </c>
      <c r="G339" s="13" t="s">
        <v>20</v>
      </c>
      <c r="H339" s="18">
        <v>240</v>
      </c>
      <c r="I339" s="13" t="s">
        <v>21</v>
      </c>
      <c r="J339" s="13" t="s">
        <v>415</v>
      </c>
      <c r="K339" s="13"/>
      <c r="L339" s="17"/>
      <c r="M339" s="13" t="s">
        <v>416</v>
      </c>
      <c r="N339" s="17"/>
      <c r="O339" s="13" t="s">
        <v>417</v>
      </c>
      <c r="P339" s="13">
        <v>1</v>
      </c>
    </row>
    <row r="340" spans="1:16">
      <c r="A340" s="10">
        <v>337</v>
      </c>
      <c r="B340" s="35" t="s">
        <v>636</v>
      </c>
      <c r="C340" s="13" t="str">
        <f>"513021196812284347"</f>
        <v>513021196812284347</v>
      </c>
      <c r="D340" s="13" t="str">
        <f t="shared" si="25"/>
        <v>513021********4347</v>
      </c>
      <c r="E340" s="13" t="str">
        <f t="shared" si="23"/>
        <v>女</v>
      </c>
      <c r="F340" s="17">
        <f ca="1" t="shared" si="24"/>
        <v>56</v>
      </c>
      <c r="G340" s="13" t="s">
        <v>20</v>
      </c>
      <c r="H340" s="18">
        <v>440</v>
      </c>
      <c r="I340" s="13" t="s">
        <v>21</v>
      </c>
      <c r="J340" s="13" t="s">
        <v>415</v>
      </c>
      <c r="K340" s="13"/>
      <c r="L340" s="17"/>
      <c r="M340" s="13" t="s">
        <v>416</v>
      </c>
      <c r="N340" s="17" t="s">
        <v>34</v>
      </c>
      <c r="O340" s="13"/>
      <c r="P340" s="13">
        <v>4</v>
      </c>
    </row>
    <row r="341" ht="15.6" spans="1:16">
      <c r="A341" s="10">
        <v>338</v>
      </c>
      <c r="B341" s="34" t="s">
        <v>637</v>
      </c>
      <c r="C341" s="34" t="s">
        <v>638</v>
      </c>
      <c r="D341" s="13" t="str">
        <f t="shared" si="25"/>
        <v>513021********0454</v>
      </c>
      <c r="E341" s="13" t="str">
        <f t="shared" si="23"/>
        <v>男</v>
      </c>
      <c r="F341" s="17">
        <f ca="1" t="shared" si="24"/>
        <v>58</v>
      </c>
      <c r="G341" s="13" t="s">
        <v>37</v>
      </c>
      <c r="H341" s="20"/>
      <c r="I341" s="13" t="s">
        <v>21</v>
      </c>
      <c r="J341" s="13" t="s">
        <v>415</v>
      </c>
      <c r="K341" s="13"/>
      <c r="L341" s="17"/>
      <c r="M341" s="13" t="s">
        <v>416</v>
      </c>
      <c r="N341" s="17" t="s">
        <v>34</v>
      </c>
      <c r="O341" s="13"/>
      <c r="P341" s="13"/>
    </row>
    <row r="342" ht="15.6" spans="1:16">
      <c r="A342" s="10">
        <v>339</v>
      </c>
      <c r="B342" s="34" t="s">
        <v>639</v>
      </c>
      <c r="C342" s="34" t="s">
        <v>640</v>
      </c>
      <c r="D342" s="13" t="str">
        <f t="shared" si="25"/>
        <v>511721********5721</v>
      </c>
      <c r="E342" s="13" t="str">
        <f t="shared" si="23"/>
        <v>女</v>
      </c>
      <c r="F342" s="17">
        <f ca="1" t="shared" si="24"/>
        <v>21</v>
      </c>
      <c r="G342" s="13" t="s">
        <v>475</v>
      </c>
      <c r="H342" s="20"/>
      <c r="I342" s="13" t="s">
        <v>21</v>
      </c>
      <c r="J342" s="13" t="s">
        <v>415</v>
      </c>
      <c r="K342" s="13"/>
      <c r="L342" s="17"/>
      <c r="M342" s="13" t="s">
        <v>416</v>
      </c>
      <c r="N342" s="17" t="s">
        <v>34</v>
      </c>
      <c r="O342" s="13"/>
      <c r="P342" s="13"/>
    </row>
    <row r="343" ht="15.6" spans="1:16">
      <c r="A343" s="10">
        <v>340</v>
      </c>
      <c r="B343" s="34" t="s">
        <v>641</v>
      </c>
      <c r="C343" s="34" t="s">
        <v>642</v>
      </c>
      <c r="D343" s="13" t="str">
        <f t="shared" si="25"/>
        <v>513021********0445</v>
      </c>
      <c r="E343" s="13" t="str">
        <f t="shared" si="23"/>
        <v>女</v>
      </c>
      <c r="F343" s="17">
        <f ca="1" t="shared" si="24"/>
        <v>26</v>
      </c>
      <c r="G343" s="13" t="s">
        <v>475</v>
      </c>
      <c r="H343" s="20"/>
      <c r="I343" s="13" t="s">
        <v>21</v>
      </c>
      <c r="J343" s="13" t="s">
        <v>415</v>
      </c>
      <c r="K343" s="13"/>
      <c r="L343" s="17"/>
      <c r="M343" s="13" t="s">
        <v>416</v>
      </c>
      <c r="N343" s="17" t="s">
        <v>34</v>
      </c>
      <c r="O343" s="13"/>
      <c r="P343" s="13"/>
    </row>
    <row r="344" spans="1:16">
      <c r="A344" s="10">
        <v>341</v>
      </c>
      <c r="B344" s="13" t="s">
        <v>643</v>
      </c>
      <c r="C344" s="13" t="str">
        <f>"513021194805160451"</f>
        <v>513021194805160451</v>
      </c>
      <c r="D344" s="13" t="str">
        <f t="shared" si="25"/>
        <v>513021********0451</v>
      </c>
      <c r="E344" s="13" t="str">
        <f t="shared" si="23"/>
        <v>男</v>
      </c>
      <c r="F344" s="17">
        <f ca="1" t="shared" si="24"/>
        <v>76</v>
      </c>
      <c r="G344" s="13" t="s">
        <v>20</v>
      </c>
      <c r="H344" s="18">
        <v>240</v>
      </c>
      <c r="I344" s="13" t="s">
        <v>21</v>
      </c>
      <c r="J344" s="13" t="s">
        <v>415</v>
      </c>
      <c r="K344" s="13"/>
      <c r="L344" s="17"/>
      <c r="M344" s="17" t="s">
        <v>278</v>
      </c>
      <c r="N344" s="17"/>
      <c r="O344" s="13" t="s">
        <v>417</v>
      </c>
      <c r="P344" s="13">
        <v>1</v>
      </c>
    </row>
    <row r="345" spans="1:16">
      <c r="A345" s="10">
        <v>342</v>
      </c>
      <c r="B345" s="13" t="s">
        <v>644</v>
      </c>
      <c r="C345" s="13" t="str">
        <f>"513021195706180443"</f>
        <v>513021195706180443</v>
      </c>
      <c r="D345" s="13" t="str">
        <f t="shared" si="25"/>
        <v>513021********0443</v>
      </c>
      <c r="E345" s="13" t="str">
        <f t="shared" si="23"/>
        <v>女</v>
      </c>
      <c r="F345" s="17">
        <f ca="1" t="shared" si="24"/>
        <v>67</v>
      </c>
      <c r="G345" s="13" t="s">
        <v>20</v>
      </c>
      <c r="H345" s="18">
        <v>240</v>
      </c>
      <c r="I345" s="13" t="s">
        <v>21</v>
      </c>
      <c r="J345" s="13" t="s">
        <v>415</v>
      </c>
      <c r="K345" s="13"/>
      <c r="L345" s="17"/>
      <c r="M345" s="13" t="s">
        <v>416</v>
      </c>
      <c r="N345" s="17"/>
      <c r="O345" s="13" t="s">
        <v>417</v>
      </c>
      <c r="P345" s="13">
        <v>1</v>
      </c>
    </row>
    <row r="346" spans="1:16">
      <c r="A346" s="10">
        <v>343</v>
      </c>
      <c r="B346" s="13" t="s">
        <v>645</v>
      </c>
      <c r="C346" s="13" t="str">
        <f>"513021194501240444"</f>
        <v>513021194501240444</v>
      </c>
      <c r="D346" s="13" t="str">
        <f t="shared" si="25"/>
        <v>513021********0444</v>
      </c>
      <c r="E346" s="13" t="str">
        <f t="shared" si="23"/>
        <v>女</v>
      </c>
      <c r="F346" s="17">
        <f ca="1" t="shared" si="24"/>
        <v>79</v>
      </c>
      <c r="G346" s="13" t="s">
        <v>20</v>
      </c>
      <c r="H346" s="18">
        <v>240</v>
      </c>
      <c r="I346" s="13" t="s">
        <v>21</v>
      </c>
      <c r="J346" s="13" t="s">
        <v>415</v>
      </c>
      <c r="K346" s="13"/>
      <c r="L346" s="17"/>
      <c r="M346" s="13" t="s">
        <v>416</v>
      </c>
      <c r="N346" s="17"/>
      <c r="O346" s="13" t="s">
        <v>417</v>
      </c>
      <c r="P346" s="13">
        <v>1</v>
      </c>
    </row>
    <row r="347" spans="1:16">
      <c r="A347" s="10">
        <v>344</v>
      </c>
      <c r="B347" s="13" t="s">
        <v>646</v>
      </c>
      <c r="C347" s="13" t="str">
        <f>"513021193804210459"</f>
        <v>513021193804210459</v>
      </c>
      <c r="D347" s="13" t="str">
        <f t="shared" si="25"/>
        <v>513021********0459</v>
      </c>
      <c r="E347" s="13" t="str">
        <f t="shared" si="23"/>
        <v>男</v>
      </c>
      <c r="F347" s="17">
        <f ca="1" t="shared" si="24"/>
        <v>86</v>
      </c>
      <c r="G347" s="13" t="s">
        <v>20</v>
      </c>
      <c r="H347" s="18">
        <v>240</v>
      </c>
      <c r="I347" s="13" t="s">
        <v>21</v>
      </c>
      <c r="J347" s="13" t="s">
        <v>415</v>
      </c>
      <c r="K347" s="13"/>
      <c r="L347" s="17"/>
      <c r="M347" s="13" t="s">
        <v>416</v>
      </c>
      <c r="N347" s="17"/>
      <c r="O347" s="13" t="s">
        <v>417</v>
      </c>
      <c r="P347" s="13">
        <v>1</v>
      </c>
    </row>
    <row r="348" spans="1:16">
      <c r="A348" s="10">
        <v>345</v>
      </c>
      <c r="B348" s="13" t="s">
        <v>647</v>
      </c>
      <c r="C348" s="13" t="str">
        <f>"513021194103150443"</f>
        <v>513021194103150443</v>
      </c>
      <c r="D348" s="13" t="str">
        <f t="shared" si="25"/>
        <v>513021********0443</v>
      </c>
      <c r="E348" s="13" t="str">
        <f t="shared" si="23"/>
        <v>女</v>
      </c>
      <c r="F348" s="17">
        <f ca="1" t="shared" si="24"/>
        <v>83</v>
      </c>
      <c r="G348" s="13" t="s">
        <v>20</v>
      </c>
      <c r="H348" s="18">
        <v>240</v>
      </c>
      <c r="I348" s="13" t="s">
        <v>21</v>
      </c>
      <c r="J348" s="13" t="s">
        <v>415</v>
      </c>
      <c r="K348" s="13"/>
      <c r="L348" s="17"/>
      <c r="M348" s="13" t="s">
        <v>416</v>
      </c>
      <c r="N348" s="17"/>
      <c r="O348" s="13" t="s">
        <v>417</v>
      </c>
      <c r="P348" s="13">
        <v>1</v>
      </c>
    </row>
    <row r="349" spans="1:16">
      <c r="A349" s="10">
        <v>346</v>
      </c>
      <c r="B349" s="13" t="s">
        <v>648</v>
      </c>
      <c r="C349" s="13" t="str">
        <f>"513021193905160454"</f>
        <v>513021193905160454</v>
      </c>
      <c r="D349" s="13" t="str">
        <f t="shared" si="25"/>
        <v>513021********0454</v>
      </c>
      <c r="E349" s="13" t="str">
        <f t="shared" si="23"/>
        <v>男</v>
      </c>
      <c r="F349" s="17">
        <f ca="1" t="shared" ref="F349:F370" si="26">YEAR(TODAY())-MID(C349,7,4)</f>
        <v>85</v>
      </c>
      <c r="G349" s="13" t="s">
        <v>20</v>
      </c>
      <c r="H349" s="18">
        <v>240</v>
      </c>
      <c r="I349" s="13" t="s">
        <v>21</v>
      </c>
      <c r="J349" s="13" t="s">
        <v>415</v>
      </c>
      <c r="K349" s="13"/>
      <c r="L349" s="17"/>
      <c r="M349" s="13" t="s">
        <v>416</v>
      </c>
      <c r="N349" s="17"/>
      <c r="O349" s="13" t="s">
        <v>417</v>
      </c>
      <c r="P349" s="13">
        <v>1</v>
      </c>
    </row>
    <row r="350" spans="1:16">
      <c r="A350" s="10">
        <v>347</v>
      </c>
      <c r="B350" s="13" t="s">
        <v>649</v>
      </c>
      <c r="C350" s="13" t="str">
        <f>"513021195501150451"</f>
        <v>513021195501150451</v>
      </c>
      <c r="D350" s="13" t="str">
        <f t="shared" si="25"/>
        <v>513021********0451</v>
      </c>
      <c r="E350" s="13" t="str">
        <f t="shared" si="23"/>
        <v>男</v>
      </c>
      <c r="F350" s="17">
        <f ca="1" t="shared" si="26"/>
        <v>69</v>
      </c>
      <c r="G350" s="13" t="s">
        <v>20</v>
      </c>
      <c r="H350" s="18">
        <v>240</v>
      </c>
      <c r="I350" s="13" t="s">
        <v>21</v>
      </c>
      <c r="J350" s="13" t="s">
        <v>415</v>
      </c>
      <c r="K350" s="13"/>
      <c r="L350" s="17"/>
      <c r="M350" s="13" t="s">
        <v>416</v>
      </c>
      <c r="N350" s="17"/>
      <c r="O350" s="13" t="s">
        <v>417</v>
      </c>
      <c r="P350" s="13">
        <v>1</v>
      </c>
    </row>
    <row r="351" spans="1:16">
      <c r="A351" s="10">
        <v>348</v>
      </c>
      <c r="B351" s="13" t="s">
        <v>650</v>
      </c>
      <c r="C351" s="13" t="str">
        <f>"513021198909030457"</f>
        <v>513021198909030457</v>
      </c>
      <c r="D351" s="13" t="str">
        <f t="shared" si="25"/>
        <v>513021********0457</v>
      </c>
      <c r="E351" s="13" t="str">
        <f t="shared" si="23"/>
        <v>男</v>
      </c>
      <c r="F351" s="17">
        <f ca="1" t="shared" si="26"/>
        <v>35</v>
      </c>
      <c r="G351" s="13" t="s">
        <v>20</v>
      </c>
      <c r="H351" s="18">
        <v>240</v>
      </c>
      <c r="I351" s="13" t="s">
        <v>21</v>
      </c>
      <c r="J351" s="13" t="s">
        <v>415</v>
      </c>
      <c r="K351" s="13"/>
      <c r="L351" s="17" t="str">
        <f>VLOOKUP(C351,[1]Sheet1!$B$2:$U$630,20,0)</f>
        <v>精神二级;</v>
      </c>
      <c r="M351" s="13" t="s">
        <v>416</v>
      </c>
      <c r="N351" s="17"/>
      <c r="O351" s="13" t="s">
        <v>417</v>
      </c>
      <c r="P351" s="13">
        <v>1</v>
      </c>
    </row>
    <row r="352" spans="1:16">
      <c r="A352" s="10">
        <v>349</v>
      </c>
      <c r="B352" s="13" t="s">
        <v>651</v>
      </c>
      <c r="C352" s="13" t="str">
        <f>"513021199607270484"</f>
        <v>513021199607270484</v>
      </c>
      <c r="D352" s="13" t="str">
        <f t="shared" si="25"/>
        <v>513021********0484</v>
      </c>
      <c r="E352" s="13" t="str">
        <f t="shared" si="23"/>
        <v>女</v>
      </c>
      <c r="F352" s="17">
        <f ca="1" t="shared" si="26"/>
        <v>28</v>
      </c>
      <c r="G352" s="13" t="s">
        <v>20</v>
      </c>
      <c r="H352" s="18">
        <v>240</v>
      </c>
      <c r="I352" s="13" t="s">
        <v>21</v>
      </c>
      <c r="J352" s="13" t="s">
        <v>415</v>
      </c>
      <c r="K352" s="13"/>
      <c r="L352" s="17" t="str">
        <f>VLOOKUP(C352,[1]Sheet1!$B$2:$U$630,20,0)</f>
        <v>听力二级;言语二级;</v>
      </c>
      <c r="M352" s="13" t="s">
        <v>416</v>
      </c>
      <c r="N352" s="17"/>
      <c r="O352" s="13" t="s">
        <v>417</v>
      </c>
      <c r="P352" s="13">
        <v>1</v>
      </c>
    </row>
    <row r="353" spans="1:16">
      <c r="A353" s="10">
        <v>350</v>
      </c>
      <c r="B353" s="13" t="s">
        <v>652</v>
      </c>
      <c r="C353" s="13" t="str">
        <f>"513021194012210455"</f>
        <v>513021194012210455</v>
      </c>
      <c r="D353" s="13" t="str">
        <f t="shared" si="25"/>
        <v>513021********0455</v>
      </c>
      <c r="E353" s="13" t="str">
        <f t="shared" si="23"/>
        <v>男</v>
      </c>
      <c r="F353" s="17">
        <f ca="1" t="shared" si="26"/>
        <v>84</v>
      </c>
      <c r="G353" s="13" t="s">
        <v>20</v>
      </c>
      <c r="H353" s="18">
        <v>240</v>
      </c>
      <c r="I353" s="13" t="s">
        <v>21</v>
      </c>
      <c r="J353" s="13" t="s">
        <v>415</v>
      </c>
      <c r="K353" s="13"/>
      <c r="L353" s="17"/>
      <c r="M353" s="13" t="s">
        <v>416</v>
      </c>
      <c r="N353" s="17"/>
      <c r="O353" s="13" t="s">
        <v>417</v>
      </c>
      <c r="P353" s="13">
        <v>1</v>
      </c>
    </row>
    <row r="354" spans="1:16">
      <c r="A354" s="10">
        <v>351</v>
      </c>
      <c r="B354" s="13" t="s">
        <v>653</v>
      </c>
      <c r="C354" s="13" t="str">
        <f>"513021195312050443"</f>
        <v>513021195312050443</v>
      </c>
      <c r="D354" s="13" t="str">
        <f t="shared" si="25"/>
        <v>513021********0443</v>
      </c>
      <c r="E354" s="13" t="str">
        <f t="shared" si="23"/>
        <v>女</v>
      </c>
      <c r="F354" s="17">
        <f ca="1" t="shared" si="26"/>
        <v>71</v>
      </c>
      <c r="G354" s="13" t="s">
        <v>20</v>
      </c>
      <c r="H354" s="18">
        <v>380</v>
      </c>
      <c r="I354" s="13" t="s">
        <v>21</v>
      </c>
      <c r="J354" s="13" t="s">
        <v>415</v>
      </c>
      <c r="K354" s="13"/>
      <c r="L354" s="17"/>
      <c r="M354" s="13" t="s">
        <v>416</v>
      </c>
      <c r="N354" s="17" t="s">
        <v>34</v>
      </c>
      <c r="O354" s="13" t="s">
        <v>417</v>
      </c>
      <c r="P354" s="13">
        <v>1</v>
      </c>
    </row>
    <row r="355" ht="15.6" spans="1:16">
      <c r="A355" s="10">
        <v>352</v>
      </c>
      <c r="B355" s="34" t="s">
        <v>654</v>
      </c>
      <c r="C355" s="34" t="s">
        <v>655</v>
      </c>
      <c r="D355" s="13" t="str">
        <f t="shared" si="25"/>
        <v>513021********0470</v>
      </c>
      <c r="E355" s="13" t="str">
        <f t="shared" ref="E355:E371" si="27">IF(MOD(MID(C355,17,1),2)=1,"男","女")</f>
        <v>男</v>
      </c>
      <c r="F355" s="17">
        <f ca="1" t="shared" si="26"/>
        <v>78</v>
      </c>
      <c r="G355" s="13" t="s">
        <v>20</v>
      </c>
      <c r="H355" s="20">
        <v>380</v>
      </c>
      <c r="I355" s="13" t="s">
        <v>21</v>
      </c>
      <c r="J355" s="13" t="s">
        <v>415</v>
      </c>
      <c r="K355" s="13"/>
      <c r="L355" s="17"/>
      <c r="M355" s="13" t="s">
        <v>416</v>
      </c>
      <c r="N355" s="17" t="s">
        <v>34</v>
      </c>
      <c r="O355" s="13"/>
      <c r="P355" s="13">
        <v>1</v>
      </c>
    </row>
    <row r="356" spans="1:16">
      <c r="A356" s="10">
        <v>353</v>
      </c>
      <c r="B356" s="13" t="s">
        <v>656</v>
      </c>
      <c r="C356" s="13" t="s">
        <v>657</v>
      </c>
      <c r="D356" s="13" t="str">
        <f t="shared" si="25"/>
        <v>513021********044X</v>
      </c>
      <c r="E356" s="13" t="str">
        <f t="shared" si="27"/>
        <v>女</v>
      </c>
      <c r="F356" s="17">
        <f ca="1" t="shared" si="26"/>
        <v>73</v>
      </c>
      <c r="G356" s="13" t="s">
        <v>20</v>
      </c>
      <c r="H356" s="18">
        <v>190</v>
      </c>
      <c r="I356" s="13" t="s">
        <v>21</v>
      </c>
      <c r="J356" s="13" t="s">
        <v>415</v>
      </c>
      <c r="K356" s="13"/>
      <c r="L356" s="17"/>
      <c r="M356" s="13" t="s">
        <v>416</v>
      </c>
      <c r="N356" s="17"/>
      <c r="O356" s="13" t="s">
        <v>417</v>
      </c>
      <c r="P356" s="13">
        <v>1</v>
      </c>
    </row>
    <row r="357" spans="1:16">
      <c r="A357" s="10">
        <v>354</v>
      </c>
      <c r="B357" s="13" t="s">
        <v>589</v>
      </c>
      <c r="C357" s="13" t="str">
        <f>"513021194301100447"</f>
        <v>513021194301100447</v>
      </c>
      <c r="D357" s="13" t="str">
        <f t="shared" si="25"/>
        <v>513021********0447</v>
      </c>
      <c r="E357" s="13" t="str">
        <f t="shared" si="27"/>
        <v>女</v>
      </c>
      <c r="F357" s="17">
        <f ca="1" t="shared" si="26"/>
        <v>81</v>
      </c>
      <c r="G357" s="13" t="s">
        <v>20</v>
      </c>
      <c r="H357" s="18">
        <v>190</v>
      </c>
      <c r="I357" s="13" t="s">
        <v>21</v>
      </c>
      <c r="J357" s="13" t="s">
        <v>415</v>
      </c>
      <c r="K357" s="13"/>
      <c r="L357" s="17"/>
      <c r="M357" s="13" t="s">
        <v>416</v>
      </c>
      <c r="N357" s="17"/>
      <c r="O357" s="13" t="s">
        <v>417</v>
      </c>
      <c r="P357" s="13">
        <v>1</v>
      </c>
    </row>
    <row r="358" spans="1:16">
      <c r="A358" s="10">
        <v>355</v>
      </c>
      <c r="B358" s="13" t="s">
        <v>658</v>
      </c>
      <c r="C358" s="13" t="s">
        <v>659</v>
      </c>
      <c r="D358" s="13" t="str">
        <f t="shared" si="25"/>
        <v>513021********044X</v>
      </c>
      <c r="E358" s="13" t="str">
        <f t="shared" si="27"/>
        <v>女</v>
      </c>
      <c r="F358" s="17">
        <f ca="1" t="shared" si="26"/>
        <v>85</v>
      </c>
      <c r="G358" s="13" t="s">
        <v>20</v>
      </c>
      <c r="H358" s="18">
        <v>190</v>
      </c>
      <c r="I358" s="13" t="s">
        <v>21</v>
      </c>
      <c r="J358" s="13" t="s">
        <v>415</v>
      </c>
      <c r="K358" s="13"/>
      <c r="L358" s="17"/>
      <c r="M358" s="13" t="s">
        <v>416</v>
      </c>
      <c r="N358" s="17"/>
      <c r="O358" s="13" t="s">
        <v>417</v>
      </c>
      <c r="P358" s="13">
        <v>1</v>
      </c>
    </row>
    <row r="359" spans="1:16">
      <c r="A359" s="10">
        <v>356</v>
      </c>
      <c r="B359" s="13" t="s">
        <v>660</v>
      </c>
      <c r="C359" s="13" t="str">
        <f>"513021195012020445"</f>
        <v>513021195012020445</v>
      </c>
      <c r="D359" s="13" t="str">
        <f t="shared" si="25"/>
        <v>513021********0445</v>
      </c>
      <c r="E359" s="13" t="str">
        <f t="shared" si="27"/>
        <v>女</v>
      </c>
      <c r="F359" s="17">
        <f ca="1" t="shared" si="26"/>
        <v>74</v>
      </c>
      <c r="G359" s="13" t="s">
        <v>20</v>
      </c>
      <c r="H359" s="18">
        <v>190</v>
      </c>
      <c r="I359" s="13" t="s">
        <v>21</v>
      </c>
      <c r="J359" s="13" t="s">
        <v>415</v>
      </c>
      <c r="K359" s="13"/>
      <c r="L359" s="17"/>
      <c r="M359" s="13" t="s">
        <v>416</v>
      </c>
      <c r="N359" s="17"/>
      <c r="O359" s="13" t="s">
        <v>417</v>
      </c>
      <c r="P359" s="13">
        <v>1</v>
      </c>
    </row>
    <row r="360" spans="1:16">
      <c r="A360" s="10">
        <v>357</v>
      </c>
      <c r="B360" s="13" t="s">
        <v>661</v>
      </c>
      <c r="C360" s="13" t="str">
        <f>"513021196506010460"</f>
        <v>513021196506010460</v>
      </c>
      <c r="D360" s="13" t="str">
        <f t="shared" si="25"/>
        <v>513021********0460</v>
      </c>
      <c r="E360" s="13" t="str">
        <f t="shared" si="27"/>
        <v>女</v>
      </c>
      <c r="F360" s="17">
        <f ca="1" t="shared" si="26"/>
        <v>59</v>
      </c>
      <c r="G360" s="13" t="s">
        <v>20</v>
      </c>
      <c r="H360" s="18">
        <v>190</v>
      </c>
      <c r="I360" s="13" t="s">
        <v>21</v>
      </c>
      <c r="J360" s="13" t="s">
        <v>415</v>
      </c>
      <c r="K360" s="13"/>
      <c r="L360" s="17"/>
      <c r="M360" s="13" t="s">
        <v>416</v>
      </c>
      <c r="N360" s="17" t="s">
        <v>34</v>
      </c>
      <c r="O360" s="13"/>
      <c r="P360" s="13">
        <v>3</v>
      </c>
    </row>
    <row r="361" ht="15.6" spans="1:16">
      <c r="A361" s="10">
        <v>358</v>
      </c>
      <c r="B361" s="34" t="s">
        <v>662</v>
      </c>
      <c r="C361" s="34" t="s">
        <v>663</v>
      </c>
      <c r="D361" s="13" t="str">
        <f t="shared" si="25"/>
        <v>513021********0471</v>
      </c>
      <c r="E361" s="13" t="str">
        <f t="shared" si="27"/>
        <v>男</v>
      </c>
      <c r="F361" s="17">
        <f ca="1" t="shared" si="26"/>
        <v>60</v>
      </c>
      <c r="G361" s="13" t="s">
        <v>37</v>
      </c>
      <c r="H361" s="20"/>
      <c r="I361" s="13" t="s">
        <v>21</v>
      </c>
      <c r="J361" s="13" t="s">
        <v>415</v>
      </c>
      <c r="K361" s="13"/>
      <c r="L361" s="17"/>
      <c r="M361" s="13" t="s">
        <v>416</v>
      </c>
      <c r="N361" s="17" t="s">
        <v>34</v>
      </c>
      <c r="O361" s="13"/>
      <c r="P361" s="13"/>
    </row>
    <row r="362" ht="15.6" spans="1:16">
      <c r="A362" s="10">
        <v>359</v>
      </c>
      <c r="B362" s="34" t="s">
        <v>664</v>
      </c>
      <c r="C362" s="34" t="s">
        <v>665</v>
      </c>
      <c r="D362" s="13" t="str">
        <f t="shared" si="25"/>
        <v>513021********045X</v>
      </c>
      <c r="E362" s="13" t="str">
        <f t="shared" si="27"/>
        <v>男</v>
      </c>
      <c r="F362" s="17">
        <f ca="1" t="shared" si="26"/>
        <v>38</v>
      </c>
      <c r="G362" s="13" t="s">
        <v>429</v>
      </c>
      <c r="H362" s="20"/>
      <c r="I362" s="13" t="s">
        <v>21</v>
      </c>
      <c r="J362" s="13" t="s">
        <v>415</v>
      </c>
      <c r="K362" s="13"/>
      <c r="L362" s="17"/>
      <c r="M362" s="13" t="s">
        <v>416</v>
      </c>
      <c r="N362" s="17" t="s">
        <v>34</v>
      </c>
      <c r="O362" s="13"/>
      <c r="P362" s="13"/>
    </row>
    <row r="363" spans="1:16">
      <c r="A363" s="10">
        <v>360</v>
      </c>
      <c r="B363" s="13" t="s">
        <v>666</v>
      </c>
      <c r="C363" s="13" t="str">
        <f>"513021196307180459"</f>
        <v>513021196307180459</v>
      </c>
      <c r="D363" s="13" t="str">
        <f t="shared" si="25"/>
        <v>513021********0459</v>
      </c>
      <c r="E363" s="13" t="str">
        <f t="shared" si="27"/>
        <v>男</v>
      </c>
      <c r="F363" s="17">
        <f ca="1" t="shared" si="26"/>
        <v>61</v>
      </c>
      <c r="G363" s="13" t="s">
        <v>20</v>
      </c>
      <c r="H363" s="18">
        <v>190</v>
      </c>
      <c r="I363" s="13" t="s">
        <v>21</v>
      </c>
      <c r="J363" s="13" t="s">
        <v>415</v>
      </c>
      <c r="K363" s="13"/>
      <c r="L363" s="17"/>
      <c r="M363" s="13" t="s">
        <v>416</v>
      </c>
      <c r="N363" s="17"/>
      <c r="O363" s="13" t="s">
        <v>417</v>
      </c>
      <c r="P363" s="13">
        <v>1</v>
      </c>
    </row>
    <row r="364" spans="1:16">
      <c r="A364" s="10">
        <v>361</v>
      </c>
      <c r="B364" s="13" t="s">
        <v>667</v>
      </c>
      <c r="C364" s="13" t="str">
        <f>"513021195007050447"</f>
        <v>513021195007050447</v>
      </c>
      <c r="D364" s="13" t="str">
        <f t="shared" si="25"/>
        <v>513021********0447</v>
      </c>
      <c r="E364" s="13" t="str">
        <f t="shared" si="27"/>
        <v>女</v>
      </c>
      <c r="F364" s="17">
        <f ca="1" t="shared" si="26"/>
        <v>74</v>
      </c>
      <c r="G364" s="13" t="s">
        <v>20</v>
      </c>
      <c r="H364" s="18">
        <v>190</v>
      </c>
      <c r="I364" s="13" t="s">
        <v>21</v>
      </c>
      <c r="J364" s="13" t="s">
        <v>415</v>
      </c>
      <c r="K364" s="13"/>
      <c r="L364" s="17"/>
      <c r="M364" s="13" t="s">
        <v>416</v>
      </c>
      <c r="N364" s="17"/>
      <c r="O364" s="13" t="s">
        <v>417</v>
      </c>
      <c r="P364" s="13">
        <v>1</v>
      </c>
    </row>
    <row r="365" spans="1:16">
      <c r="A365" s="10">
        <v>362</v>
      </c>
      <c r="B365" s="13" t="s">
        <v>668</v>
      </c>
      <c r="C365" s="13" t="str">
        <f>"513021196307080458"</f>
        <v>513021196307080458</v>
      </c>
      <c r="D365" s="13" t="str">
        <f t="shared" si="25"/>
        <v>513021********0458</v>
      </c>
      <c r="E365" s="13" t="str">
        <f t="shared" si="27"/>
        <v>男</v>
      </c>
      <c r="F365" s="17">
        <f ca="1" t="shared" si="26"/>
        <v>61</v>
      </c>
      <c r="G365" s="13" t="s">
        <v>20</v>
      </c>
      <c r="H365" s="18">
        <v>190</v>
      </c>
      <c r="I365" s="13" t="s">
        <v>21</v>
      </c>
      <c r="J365" s="13" t="s">
        <v>415</v>
      </c>
      <c r="K365" s="13"/>
      <c r="L365" s="17" t="str">
        <f>VLOOKUP(C365,[1]Sheet1!$B$2:$U$630,20,0)</f>
        <v>肢体四级;</v>
      </c>
      <c r="M365" s="13" t="s">
        <v>416</v>
      </c>
      <c r="N365" s="17" t="s">
        <v>34</v>
      </c>
      <c r="O365" s="13"/>
      <c r="P365" s="13">
        <v>3</v>
      </c>
    </row>
    <row r="366" ht="15.6" spans="1:16">
      <c r="A366" s="10">
        <v>363</v>
      </c>
      <c r="B366" s="34" t="s">
        <v>669</v>
      </c>
      <c r="C366" s="34" t="s">
        <v>670</v>
      </c>
      <c r="D366" s="13" t="str">
        <f t="shared" si="25"/>
        <v>513021********0443</v>
      </c>
      <c r="E366" s="13" t="str">
        <f t="shared" si="27"/>
        <v>女</v>
      </c>
      <c r="F366" s="17">
        <f ca="1" t="shared" si="26"/>
        <v>60</v>
      </c>
      <c r="G366" s="13" t="s">
        <v>37</v>
      </c>
      <c r="H366" s="20"/>
      <c r="I366" s="13" t="s">
        <v>21</v>
      </c>
      <c r="J366" s="13" t="s">
        <v>415</v>
      </c>
      <c r="K366" s="13"/>
      <c r="L366" s="17"/>
      <c r="M366" s="13" t="s">
        <v>416</v>
      </c>
      <c r="N366" s="17" t="s">
        <v>34</v>
      </c>
      <c r="O366" s="13"/>
      <c r="P366" s="13"/>
    </row>
    <row r="367" ht="15.6" spans="1:16">
      <c r="A367" s="10">
        <v>364</v>
      </c>
      <c r="B367" s="34" t="s">
        <v>671</v>
      </c>
      <c r="C367" s="34" t="s">
        <v>672</v>
      </c>
      <c r="D367" s="13" t="str">
        <f t="shared" si="25"/>
        <v>513021********0453</v>
      </c>
      <c r="E367" s="13" t="str">
        <f t="shared" si="27"/>
        <v>男</v>
      </c>
      <c r="F367" s="17">
        <f ca="1" t="shared" si="26"/>
        <v>36</v>
      </c>
      <c r="G367" s="13" t="s">
        <v>429</v>
      </c>
      <c r="H367" s="20"/>
      <c r="I367" s="13" t="s">
        <v>21</v>
      </c>
      <c r="J367" s="13" t="s">
        <v>415</v>
      </c>
      <c r="K367" s="13"/>
      <c r="L367" s="17"/>
      <c r="M367" s="13" t="s">
        <v>416</v>
      </c>
      <c r="N367" s="17" t="s">
        <v>34</v>
      </c>
      <c r="O367" s="13"/>
      <c r="P367" s="13"/>
    </row>
    <row r="368" spans="1:16">
      <c r="A368" s="10">
        <v>365</v>
      </c>
      <c r="B368" s="13" t="s">
        <v>673</v>
      </c>
      <c r="C368" s="13" t="str">
        <f>"513021199802110443"</f>
        <v>513021199802110443</v>
      </c>
      <c r="D368" s="13" t="str">
        <f t="shared" si="25"/>
        <v>513021********0443</v>
      </c>
      <c r="E368" s="13" t="str">
        <f t="shared" si="27"/>
        <v>女</v>
      </c>
      <c r="F368" s="17">
        <f ca="1" t="shared" si="26"/>
        <v>26</v>
      </c>
      <c r="G368" s="13" t="s">
        <v>20</v>
      </c>
      <c r="H368" s="18">
        <v>190</v>
      </c>
      <c r="I368" s="13" t="s">
        <v>21</v>
      </c>
      <c r="J368" s="13" t="s">
        <v>415</v>
      </c>
      <c r="K368" s="13"/>
      <c r="L368" s="17"/>
      <c r="M368" s="13" t="s">
        <v>416</v>
      </c>
      <c r="N368" s="17" t="s">
        <v>34</v>
      </c>
      <c r="O368" s="13" t="s">
        <v>417</v>
      </c>
      <c r="P368" s="13">
        <v>1</v>
      </c>
    </row>
    <row r="369" spans="1:16">
      <c r="A369" s="10">
        <v>366</v>
      </c>
      <c r="B369" s="13" t="s">
        <v>674</v>
      </c>
      <c r="C369" s="13" t="s">
        <v>675</v>
      </c>
      <c r="D369" s="13" t="str">
        <f t="shared" si="25"/>
        <v>513021********045X</v>
      </c>
      <c r="E369" s="13" t="str">
        <f t="shared" si="27"/>
        <v>男</v>
      </c>
      <c r="F369" s="17">
        <f ca="1" t="shared" si="26"/>
        <v>84</v>
      </c>
      <c r="G369" s="13" t="s">
        <v>20</v>
      </c>
      <c r="H369" s="18">
        <v>380</v>
      </c>
      <c r="I369" s="13" t="s">
        <v>21</v>
      </c>
      <c r="J369" s="13" t="s">
        <v>415</v>
      </c>
      <c r="K369" s="13"/>
      <c r="L369" s="17"/>
      <c r="M369" s="13" t="s">
        <v>416</v>
      </c>
      <c r="N369" s="17" t="s">
        <v>34</v>
      </c>
      <c r="O369" s="13" t="s">
        <v>417</v>
      </c>
      <c r="P369" s="13">
        <v>1</v>
      </c>
    </row>
    <row r="370" spans="1:16">
      <c r="A370" s="10">
        <v>367</v>
      </c>
      <c r="B370" s="13" t="s">
        <v>55</v>
      </c>
      <c r="C370" s="13" t="str">
        <f>"513021193907100447"</f>
        <v>513021193907100447</v>
      </c>
      <c r="D370" s="13" t="str">
        <f t="shared" si="25"/>
        <v>513021********0447</v>
      </c>
      <c r="E370" s="13" t="str">
        <f t="shared" si="27"/>
        <v>女</v>
      </c>
      <c r="F370" s="17">
        <f ca="1" t="shared" si="26"/>
        <v>85</v>
      </c>
      <c r="G370" s="13" t="s">
        <v>20</v>
      </c>
      <c r="H370" s="18">
        <v>380</v>
      </c>
      <c r="I370" s="13" t="s">
        <v>21</v>
      </c>
      <c r="J370" s="13" t="s">
        <v>415</v>
      </c>
      <c r="K370" s="13"/>
      <c r="L370" s="17"/>
      <c r="M370" s="13" t="s">
        <v>416</v>
      </c>
      <c r="N370" s="17" t="s">
        <v>34</v>
      </c>
      <c r="O370" s="13" t="s">
        <v>417</v>
      </c>
      <c r="P370" s="13">
        <v>1</v>
      </c>
    </row>
    <row r="371" spans="1:16">
      <c r="A371" s="10">
        <v>368</v>
      </c>
      <c r="B371" s="13" t="s">
        <v>676</v>
      </c>
      <c r="C371" s="13" t="str">
        <f>"513021196807120452"</f>
        <v>513021196807120452</v>
      </c>
      <c r="D371" s="13" t="str">
        <f t="shared" si="25"/>
        <v>513021********0452</v>
      </c>
      <c r="E371" s="13" t="str">
        <f t="shared" ref="E371:E379" si="28">IF(MOD(MID(C371,17,1),2)=1,"男","女")</f>
        <v>男</v>
      </c>
      <c r="F371" s="17">
        <f ca="1" t="shared" ref="F371:F394" si="29">YEAR(TODAY())-MID(C371,7,4)</f>
        <v>56</v>
      </c>
      <c r="G371" s="13" t="s">
        <v>20</v>
      </c>
      <c r="H371" s="18">
        <v>380</v>
      </c>
      <c r="I371" s="13" t="s">
        <v>21</v>
      </c>
      <c r="J371" s="13" t="s">
        <v>415</v>
      </c>
      <c r="K371" s="13"/>
      <c r="L371" s="17"/>
      <c r="M371" s="13" t="s">
        <v>416</v>
      </c>
      <c r="N371" s="17"/>
      <c r="O371" s="13" t="s">
        <v>417</v>
      </c>
      <c r="P371" s="13">
        <v>1</v>
      </c>
    </row>
    <row r="372" spans="1:16">
      <c r="A372" s="10">
        <v>369</v>
      </c>
      <c r="B372" s="13" t="s">
        <v>677</v>
      </c>
      <c r="C372" s="13" t="str">
        <f>"510226197509264655"</f>
        <v>510226197509264655</v>
      </c>
      <c r="D372" s="13" t="str">
        <f t="shared" si="25"/>
        <v>510226********4655</v>
      </c>
      <c r="E372" s="13" t="str">
        <f t="shared" si="28"/>
        <v>男</v>
      </c>
      <c r="F372" s="17">
        <f ca="1" t="shared" si="29"/>
        <v>49</v>
      </c>
      <c r="G372" s="13" t="s">
        <v>20</v>
      </c>
      <c r="H372" s="18">
        <v>240</v>
      </c>
      <c r="I372" s="13" t="s">
        <v>21</v>
      </c>
      <c r="J372" s="13" t="s">
        <v>415</v>
      </c>
      <c r="K372" s="13"/>
      <c r="L372" s="17"/>
      <c r="M372" s="13" t="s">
        <v>416</v>
      </c>
      <c r="N372" s="17"/>
      <c r="O372" s="13" t="s">
        <v>417</v>
      </c>
      <c r="P372" s="13">
        <v>1</v>
      </c>
    </row>
    <row r="373" spans="1:16">
      <c r="A373" s="10">
        <v>370</v>
      </c>
      <c r="B373" s="13" t="s">
        <v>678</v>
      </c>
      <c r="C373" s="13" t="str">
        <f>"513021195312180459"</f>
        <v>513021195312180459</v>
      </c>
      <c r="D373" s="13" t="str">
        <f t="shared" si="25"/>
        <v>513021********0459</v>
      </c>
      <c r="E373" s="13" t="str">
        <f t="shared" si="28"/>
        <v>男</v>
      </c>
      <c r="F373" s="17">
        <f ca="1" t="shared" si="29"/>
        <v>71</v>
      </c>
      <c r="G373" s="13" t="s">
        <v>20</v>
      </c>
      <c r="H373" s="18">
        <v>240</v>
      </c>
      <c r="I373" s="13" t="s">
        <v>21</v>
      </c>
      <c r="J373" s="13" t="s">
        <v>415</v>
      </c>
      <c r="K373" s="13"/>
      <c r="L373" s="17"/>
      <c r="M373" s="13" t="s">
        <v>416</v>
      </c>
      <c r="N373" s="17"/>
      <c r="O373" s="13" t="s">
        <v>417</v>
      </c>
      <c r="P373" s="13">
        <v>1</v>
      </c>
    </row>
    <row r="374" spans="1:16">
      <c r="A374" s="10">
        <v>371</v>
      </c>
      <c r="B374" s="13" t="s">
        <v>679</v>
      </c>
      <c r="C374" s="13" t="str">
        <f>"513021194308200459"</f>
        <v>513021194308200459</v>
      </c>
      <c r="D374" s="13" t="str">
        <f t="shared" si="25"/>
        <v>513021********0459</v>
      </c>
      <c r="E374" s="13" t="str">
        <f t="shared" si="28"/>
        <v>男</v>
      </c>
      <c r="F374" s="17">
        <f ca="1" t="shared" si="29"/>
        <v>81</v>
      </c>
      <c r="G374" s="13" t="s">
        <v>20</v>
      </c>
      <c r="H374" s="18">
        <v>240</v>
      </c>
      <c r="I374" s="13" t="s">
        <v>21</v>
      </c>
      <c r="J374" s="13" t="s">
        <v>415</v>
      </c>
      <c r="K374" s="13"/>
      <c r="L374" s="17" t="str">
        <f>VLOOKUP(C374,[1]Sheet1!$B$2:$U$630,20,0)</f>
        <v>肢体三级;</v>
      </c>
      <c r="M374" s="13" t="s">
        <v>416</v>
      </c>
      <c r="N374" s="17"/>
      <c r="O374" s="13" t="s">
        <v>417</v>
      </c>
      <c r="P374" s="13">
        <v>1</v>
      </c>
    </row>
    <row r="375" spans="1:16">
      <c r="A375" s="10">
        <v>372</v>
      </c>
      <c r="B375" s="13" t="s">
        <v>680</v>
      </c>
      <c r="C375" s="13" t="str">
        <f>"513021195710130457"</f>
        <v>513021195710130457</v>
      </c>
      <c r="D375" s="13" t="str">
        <f t="shared" si="25"/>
        <v>513021********0457</v>
      </c>
      <c r="E375" s="13" t="str">
        <f t="shared" si="28"/>
        <v>男</v>
      </c>
      <c r="F375" s="17">
        <f ca="1" t="shared" si="29"/>
        <v>67</v>
      </c>
      <c r="G375" s="13" t="s">
        <v>20</v>
      </c>
      <c r="H375" s="18">
        <v>240</v>
      </c>
      <c r="I375" s="13" t="s">
        <v>21</v>
      </c>
      <c r="J375" s="13" t="s">
        <v>415</v>
      </c>
      <c r="K375" s="13"/>
      <c r="L375" s="17"/>
      <c r="M375" s="13" t="s">
        <v>416</v>
      </c>
      <c r="N375" s="17"/>
      <c r="O375" s="13" t="s">
        <v>417</v>
      </c>
      <c r="P375" s="13">
        <v>1</v>
      </c>
    </row>
    <row r="376" ht="15.6" spans="1:16">
      <c r="A376" s="10">
        <v>373</v>
      </c>
      <c r="B376" s="29" t="s">
        <v>681</v>
      </c>
      <c r="C376" s="31" t="s">
        <v>682</v>
      </c>
      <c r="D376" s="13" t="str">
        <f t="shared" si="25"/>
        <v>513021********062X</v>
      </c>
      <c r="E376" s="13" t="s">
        <v>19</v>
      </c>
      <c r="F376" s="17">
        <f ca="1" t="shared" si="29"/>
        <v>49</v>
      </c>
      <c r="G376" s="13" t="s">
        <v>20</v>
      </c>
      <c r="H376" s="18">
        <v>220</v>
      </c>
      <c r="I376" s="13" t="s">
        <v>21</v>
      </c>
      <c r="J376" s="13" t="s">
        <v>683</v>
      </c>
      <c r="K376" s="13"/>
      <c r="L376" s="17"/>
      <c r="M376" s="13" t="s">
        <v>416</v>
      </c>
      <c r="N376" s="17"/>
      <c r="O376" s="13" t="s">
        <v>161</v>
      </c>
      <c r="P376" s="13">
        <v>1</v>
      </c>
    </row>
    <row r="377" spans="1:16">
      <c r="A377" s="10">
        <v>374</v>
      </c>
      <c r="B377" s="13" t="s">
        <v>684</v>
      </c>
      <c r="C377" s="13" t="str">
        <f>"513021196101190483"</f>
        <v>513021196101190483</v>
      </c>
      <c r="D377" s="13" t="str">
        <f t="shared" si="25"/>
        <v>513021********0483</v>
      </c>
      <c r="E377" s="13" t="str">
        <f>IF(MOD(MID(C377,17,1),2)=1,"男","女")</f>
        <v>女</v>
      </c>
      <c r="F377" s="17">
        <f ca="1" t="shared" si="29"/>
        <v>63</v>
      </c>
      <c r="G377" s="13" t="s">
        <v>20</v>
      </c>
      <c r="H377" s="18">
        <v>240</v>
      </c>
      <c r="I377" s="13" t="s">
        <v>21</v>
      </c>
      <c r="J377" s="13" t="s">
        <v>683</v>
      </c>
      <c r="K377" s="13"/>
      <c r="L377" s="17" t="str">
        <f>VLOOKUP(C377,[1]Sheet1!$B$2:$U$630,20,0)</f>
        <v>肢体一级;</v>
      </c>
      <c r="M377" s="13" t="s">
        <v>416</v>
      </c>
      <c r="N377" s="17"/>
      <c r="O377" s="13" t="s">
        <v>417</v>
      </c>
      <c r="P377" s="13">
        <v>1</v>
      </c>
    </row>
    <row r="378" spans="1:16">
      <c r="A378" s="10">
        <v>375</v>
      </c>
      <c r="B378" s="13" t="s">
        <v>685</v>
      </c>
      <c r="C378" s="13" t="str">
        <f>"513021194707140457"</f>
        <v>513021194707140457</v>
      </c>
      <c r="D378" s="13" t="str">
        <f t="shared" si="25"/>
        <v>513021********0457</v>
      </c>
      <c r="E378" s="13" t="str">
        <f>IF(MOD(MID(C378,17,1),2)=1,"男","女")</f>
        <v>男</v>
      </c>
      <c r="F378" s="17">
        <f ca="1" t="shared" si="29"/>
        <v>77</v>
      </c>
      <c r="G378" s="13" t="s">
        <v>20</v>
      </c>
      <c r="H378" s="18">
        <v>240</v>
      </c>
      <c r="I378" s="13" t="s">
        <v>21</v>
      </c>
      <c r="J378" s="13" t="s">
        <v>683</v>
      </c>
      <c r="K378" s="13"/>
      <c r="L378" s="17"/>
      <c r="M378" s="13" t="s">
        <v>416</v>
      </c>
      <c r="N378" s="17"/>
      <c r="O378" s="13" t="s">
        <v>417</v>
      </c>
      <c r="P378" s="13">
        <v>1</v>
      </c>
    </row>
    <row r="379" spans="1:16">
      <c r="A379" s="10">
        <v>376</v>
      </c>
      <c r="B379" s="13" t="s">
        <v>686</v>
      </c>
      <c r="C379" s="13" t="str">
        <f>"513021196305270450"</f>
        <v>513021196305270450</v>
      </c>
      <c r="D379" s="13" t="str">
        <f t="shared" si="25"/>
        <v>513021********0450</v>
      </c>
      <c r="E379" s="13" t="str">
        <f>IF(MOD(MID(C379,17,1),2)=1,"男","女")</f>
        <v>男</v>
      </c>
      <c r="F379" s="17">
        <f ca="1" t="shared" si="29"/>
        <v>61</v>
      </c>
      <c r="G379" s="13" t="s">
        <v>20</v>
      </c>
      <c r="H379" s="18">
        <v>240</v>
      </c>
      <c r="I379" s="13" t="s">
        <v>21</v>
      </c>
      <c r="J379" s="13" t="s">
        <v>683</v>
      </c>
      <c r="K379" s="13"/>
      <c r="L379" s="17" t="str">
        <f>VLOOKUP(C379,[1]Sheet1!$B$2:$U$630,20,0)</f>
        <v>肢体三级;</v>
      </c>
      <c r="M379" s="13" t="s">
        <v>416</v>
      </c>
      <c r="N379" s="17" t="s">
        <v>34</v>
      </c>
      <c r="O379" s="13" t="s">
        <v>417</v>
      </c>
      <c r="P379" s="13">
        <v>1</v>
      </c>
    </row>
    <row r="380" spans="1:16">
      <c r="A380" s="10">
        <v>377</v>
      </c>
      <c r="B380" s="13" t="s">
        <v>687</v>
      </c>
      <c r="C380" s="13" t="str">
        <f>"513021196503020452"</f>
        <v>513021196503020452</v>
      </c>
      <c r="D380" s="13" t="str">
        <f t="shared" si="25"/>
        <v>513021********0452</v>
      </c>
      <c r="E380" s="13" t="str">
        <f t="shared" ref="E380:E392" si="30">IF(MOD(MID(C380,17,1),2)=1,"男","女")</f>
        <v>男</v>
      </c>
      <c r="F380" s="17">
        <f ca="1" t="shared" si="29"/>
        <v>59</v>
      </c>
      <c r="G380" s="13" t="s">
        <v>20</v>
      </c>
      <c r="H380" s="18">
        <v>240</v>
      </c>
      <c r="I380" s="13" t="s">
        <v>21</v>
      </c>
      <c r="J380" s="13" t="s">
        <v>683</v>
      </c>
      <c r="K380" s="13"/>
      <c r="L380" s="17" t="str">
        <f>VLOOKUP(C380,[1]Sheet1!$B$2:$U$630,20,0)</f>
        <v>肢体三级;</v>
      </c>
      <c r="M380" s="13" t="s">
        <v>416</v>
      </c>
      <c r="N380" s="17"/>
      <c r="O380" s="13" t="s">
        <v>417</v>
      </c>
      <c r="P380" s="13">
        <v>1</v>
      </c>
    </row>
    <row r="381" spans="1:16">
      <c r="A381" s="10">
        <v>378</v>
      </c>
      <c r="B381" s="13" t="s">
        <v>688</v>
      </c>
      <c r="C381" s="13" t="str">
        <f>"513021196709230455"</f>
        <v>513021196709230455</v>
      </c>
      <c r="D381" s="13" t="str">
        <f t="shared" si="25"/>
        <v>513021********0455</v>
      </c>
      <c r="E381" s="13" t="str">
        <f t="shared" si="30"/>
        <v>男</v>
      </c>
      <c r="F381" s="17">
        <f ca="1" t="shared" si="29"/>
        <v>57</v>
      </c>
      <c r="G381" s="13" t="s">
        <v>20</v>
      </c>
      <c r="H381" s="18">
        <v>240</v>
      </c>
      <c r="I381" s="13" t="s">
        <v>21</v>
      </c>
      <c r="J381" s="13" t="s">
        <v>683</v>
      </c>
      <c r="K381" s="13"/>
      <c r="L381" s="17"/>
      <c r="M381" s="13" t="s">
        <v>416</v>
      </c>
      <c r="N381" s="17"/>
      <c r="O381" s="13" t="s">
        <v>417</v>
      </c>
      <c r="P381" s="13">
        <v>1</v>
      </c>
    </row>
    <row r="382" spans="1:16">
      <c r="A382" s="10">
        <v>379</v>
      </c>
      <c r="B382" s="13" t="s">
        <v>689</v>
      </c>
      <c r="C382" s="13" t="str">
        <f>"513021196802260528"</f>
        <v>513021196802260528</v>
      </c>
      <c r="D382" s="13" t="str">
        <f t="shared" si="25"/>
        <v>513021********0528</v>
      </c>
      <c r="E382" s="13" t="str">
        <f t="shared" si="30"/>
        <v>女</v>
      </c>
      <c r="F382" s="17">
        <f ca="1" t="shared" si="29"/>
        <v>56</v>
      </c>
      <c r="G382" s="13" t="s">
        <v>20</v>
      </c>
      <c r="H382" s="18">
        <v>440</v>
      </c>
      <c r="I382" s="13" t="s">
        <v>21</v>
      </c>
      <c r="J382" s="13" t="s">
        <v>683</v>
      </c>
      <c r="K382" s="13"/>
      <c r="L382" s="17"/>
      <c r="M382" s="13" t="s">
        <v>416</v>
      </c>
      <c r="N382" s="17"/>
      <c r="O382" s="13"/>
      <c r="P382" s="13">
        <v>3</v>
      </c>
    </row>
    <row r="383" ht="15.6" spans="1:16">
      <c r="A383" s="10">
        <v>380</v>
      </c>
      <c r="B383" s="34" t="s">
        <v>690</v>
      </c>
      <c r="C383" s="34" t="s">
        <v>691</v>
      </c>
      <c r="D383" s="13" t="str">
        <f t="shared" si="25"/>
        <v>513021********0455</v>
      </c>
      <c r="E383" s="13" t="str">
        <f t="shared" si="30"/>
        <v>男</v>
      </c>
      <c r="F383" s="17">
        <f ca="1" t="shared" si="29"/>
        <v>62</v>
      </c>
      <c r="G383" s="13" t="s">
        <v>37</v>
      </c>
      <c r="H383" s="20"/>
      <c r="I383" s="13" t="s">
        <v>21</v>
      </c>
      <c r="J383" s="13" t="s">
        <v>683</v>
      </c>
      <c r="K383" s="13"/>
      <c r="L383" s="17"/>
      <c r="M383" s="13" t="s">
        <v>416</v>
      </c>
      <c r="N383" s="17"/>
      <c r="O383" s="13"/>
      <c r="P383" s="13"/>
    </row>
    <row r="384" ht="15.6" spans="1:16">
      <c r="A384" s="10">
        <v>381</v>
      </c>
      <c r="B384" s="34" t="s">
        <v>692</v>
      </c>
      <c r="C384" s="34" t="s">
        <v>693</v>
      </c>
      <c r="D384" s="13" t="str">
        <f t="shared" si="25"/>
        <v>513021********0460</v>
      </c>
      <c r="E384" s="13" t="str">
        <f t="shared" si="30"/>
        <v>女</v>
      </c>
      <c r="F384" s="17">
        <f ca="1" t="shared" si="29"/>
        <v>31</v>
      </c>
      <c r="G384" s="34" t="s">
        <v>475</v>
      </c>
      <c r="H384" s="20"/>
      <c r="I384" s="13" t="s">
        <v>21</v>
      </c>
      <c r="J384" s="13" t="s">
        <v>683</v>
      </c>
      <c r="K384" s="13"/>
      <c r="L384" s="17"/>
      <c r="M384" s="13" t="s">
        <v>416</v>
      </c>
      <c r="N384" s="17"/>
      <c r="O384" s="13"/>
      <c r="P384" s="13"/>
    </row>
    <row r="385" spans="1:16">
      <c r="A385" s="10">
        <v>382</v>
      </c>
      <c r="B385" s="13" t="s">
        <v>694</v>
      </c>
      <c r="C385" s="13" t="str">
        <f>"513021192909020446"</f>
        <v>513021192909020446</v>
      </c>
      <c r="D385" s="13" t="str">
        <f t="shared" si="25"/>
        <v>513021********0446</v>
      </c>
      <c r="E385" s="13" t="str">
        <f t="shared" si="30"/>
        <v>女</v>
      </c>
      <c r="F385" s="17">
        <f ca="1" t="shared" si="29"/>
        <v>95</v>
      </c>
      <c r="G385" s="13" t="s">
        <v>20</v>
      </c>
      <c r="H385" s="18">
        <v>240</v>
      </c>
      <c r="I385" s="13" t="s">
        <v>21</v>
      </c>
      <c r="J385" s="13" t="s">
        <v>683</v>
      </c>
      <c r="K385" s="13"/>
      <c r="L385" s="17"/>
      <c r="M385" s="13" t="s">
        <v>416</v>
      </c>
      <c r="N385" s="17"/>
      <c r="O385" s="13" t="s">
        <v>417</v>
      </c>
      <c r="P385" s="13">
        <v>1</v>
      </c>
    </row>
    <row r="386" spans="1:16">
      <c r="A386" s="10">
        <v>383</v>
      </c>
      <c r="B386" s="13" t="s">
        <v>695</v>
      </c>
      <c r="C386" s="13" t="str">
        <f>"513021194106110447"</f>
        <v>513021194106110447</v>
      </c>
      <c r="D386" s="13" t="str">
        <f t="shared" si="25"/>
        <v>513021********0447</v>
      </c>
      <c r="E386" s="13" t="str">
        <f t="shared" si="30"/>
        <v>女</v>
      </c>
      <c r="F386" s="17">
        <f ca="1" t="shared" si="29"/>
        <v>83</v>
      </c>
      <c r="G386" s="13" t="s">
        <v>20</v>
      </c>
      <c r="H386" s="18">
        <v>240</v>
      </c>
      <c r="I386" s="13" t="s">
        <v>21</v>
      </c>
      <c r="J386" s="13" t="s">
        <v>683</v>
      </c>
      <c r="K386" s="13"/>
      <c r="L386" s="17"/>
      <c r="M386" s="13" t="s">
        <v>416</v>
      </c>
      <c r="N386" s="17" t="s">
        <v>34</v>
      </c>
      <c r="O386" s="13" t="s">
        <v>417</v>
      </c>
      <c r="P386" s="13">
        <v>1</v>
      </c>
    </row>
    <row r="387" spans="1:16">
      <c r="A387" s="10">
        <v>384</v>
      </c>
      <c r="B387" s="13" t="s">
        <v>696</v>
      </c>
      <c r="C387" s="13" t="str">
        <f>"513021195107010442"</f>
        <v>513021195107010442</v>
      </c>
      <c r="D387" s="13" t="str">
        <f t="shared" si="25"/>
        <v>513021********0442</v>
      </c>
      <c r="E387" s="13" t="str">
        <f t="shared" si="30"/>
        <v>女</v>
      </c>
      <c r="F387" s="17">
        <f ca="1" t="shared" si="29"/>
        <v>73</v>
      </c>
      <c r="G387" s="13" t="s">
        <v>20</v>
      </c>
      <c r="H387" s="18">
        <v>220</v>
      </c>
      <c r="I387" s="13" t="s">
        <v>21</v>
      </c>
      <c r="J387" s="13" t="s">
        <v>683</v>
      </c>
      <c r="K387" s="13"/>
      <c r="L387" s="17"/>
      <c r="M387" s="13" t="s">
        <v>416</v>
      </c>
      <c r="N387" s="17" t="s">
        <v>34</v>
      </c>
      <c r="O387" s="13"/>
      <c r="P387" s="13">
        <v>3</v>
      </c>
    </row>
    <row r="388" ht="15.6" spans="1:16">
      <c r="A388" s="10">
        <v>385</v>
      </c>
      <c r="B388" s="34" t="s">
        <v>697</v>
      </c>
      <c r="C388" s="34" t="s">
        <v>698</v>
      </c>
      <c r="D388" s="13" t="str">
        <f t="shared" si="25"/>
        <v>513021********0452</v>
      </c>
      <c r="E388" s="13" t="str">
        <f t="shared" si="30"/>
        <v>男</v>
      </c>
      <c r="F388" s="17">
        <f ca="1" t="shared" si="29"/>
        <v>72</v>
      </c>
      <c r="G388" s="13" t="s">
        <v>37</v>
      </c>
      <c r="H388" s="20"/>
      <c r="I388" s="13" t="s">
        <v>21</v>
      </c>
      <c r="J388" s="13" t="s">
        <v>683</v>
      </c>
      <c r="K388" s="13"/>
      <c r="L388" s="17"/>
      <c r="M388" s="13" t="s">
        <v>416</v>
      </c>
      <c r="N388" s="17" t="s">
        <v>34</v>
      </c>
      <c r="O388" s="13"/>
      <c r="P388" s="13"/>
    </row>
    <row r="389" ht="15.6" spans="1:16">
      <c r="A389" s="10">
        <v>386</v>
      </c>
      <c r="B389" s="34" t="s">
        <v>699</v>
      </c>
      <c r="C389" s="34" t="s">
        <v>700</v>
      </c>
      <c r="D389" s="13" t="str">
        <f t="shared" ref="D389:D452" si="31">REPLACE(C389,7,8,"********")</f>
        <v>513021********0449</v>
      </c>
      <c r="E389" s="13" t="str">
        <f t="shared" si="30"/>
        <v>女</v>
      </c>
      <c r="F389" s="17">
        <f ca="1" t="shared" si="29"/>
        <v>51</v>
      </c>
      <c r="G389" s="34" t="s">
        <v>475</v>
      </c>
      <c r="H389" s="20"/>
      <c r="I389" s="13" t="s">
        <v>21</v>
      </c>
      <c r="J389" s="13" t="s">
        <v>683</v>
      </c>
      <c r="K389" s="13"/>
      <c r="L389" s="17"/>
      <c r="M389" s="13" t="s">
        <v>416</v>
      </c>
      <c r="N389" s="17" t="s">
        <v>34</v>
      </c>
      <c r="O389" s="13"/>
      <c r="P389" s="13"/>
    </row>
    <row r="390" spans="1:16">
      <c r="A390" s="10">
        <v>387</v>
      </c>
      <c r="B390" s="13" t="s">
        <v>701</v>
      </c>
      <c r="C390" s="13" t="str">
        <f>"513021199708260453"</f>
        <v>513021199708260453</v>
      </c>
      <c r="D390" s="13" t="str">
        <f t="shared" si="31"/>
        <v>513021********0453</v>
      </c>
      <c r="E390" s="13" t="str">
        <f t="shared" si="30"/>
        <v>男</v>
      </c>
      <c r="F390" s="17">
        <f ca="1" t="shared" si="29"/>
        <v>27</v>
      </c>
      <c r="G390" s="13" t="s">
        <v>20</v>
      </c>
      <c r="H390" s="18">
        <v>240</v>
      </c>
      <c r="I390" s="13" t="s">
        <v>21</v>
      </c>
      <c r="J390" s="13" t="s">
        <v>683</v>
      </c>
      <c r="K390" s="13"/>
      <c r="L390" s="17" t="str">
        <f>VLOOKUP(C390,[1]Sheet1!$B$2:$U$630,20,0)</f>
        <v>精神二级;</v>
      </c>
      <c r="M390" s="13" t="s">
        <v>416</v>
      </c>
      <c r="N390" s="17"/>
      <c r="O390" s="13" t="s">
        <v>417</v>
      </c>
      <c r="P390" s="13">
        <v>1</v>
      </c>
    </row>
    <row r="391" ht="15.6" spans="1:16">
      <c r="A391" s="10">
        <v>388</v>
      </c>
      <c r="B391" s="29" t="s">
        <v>702</v>
      </c>
      <c r="C391" s="40" t="s">
        <v>703</v>
      </c>
      <c r="D391" s="13" t="str">
        <f t="shared" si="31"/>
        <v>511721********0127</v>
      </c>
      <c r="E391" s="13" t="s">
        <v>19</v>
      </c>
      <c r="F391" s="17">
        <f ca="1" t="shared" si="29"/>
        <v>7</v>
      </c>
      <c r="G391" s="13" t="s">
        <v>20</v>
      </c>
      <c r="H391" s="18">
        <v>220</v>
      </c>
      <c r="I391" s="13" t="s">
        <v>21</v>
      </c>
      <c r="J391" s="13" t="s">
        <v>683</v>
      </c>
      <c r="K391" s="13"/>
      <c r="L391" s="17"/>
      <c r="M391" s="13"/>
      <c r="N391" s="17"/>
      <c r="O391" s="13"/>
      <c r="P391" s="13">
        <v>1</v>
      </c>
    </row>
    <row r="392" ht="15.6" spans="1:16">
      <c r="A392" s="10">
        <v>389</v>
      </c>
      <c r="B392" s="29" t="s">
        <v>704</v>
      </c>
      <c r="C392" s="40" t="s">
        <v>705</v>
      </c>
      <c r="D392" s="13" t="str">
        <f t="shared" si="31"/>
        <v>511721********5721</v>
      </c>
      <c r="E392" s="13" t="s">
        <v>19</v>
      </c>
      <c r="F392" s="17">
        <f ca="1" t="shared" si="29"/>
        <v>10</v>
      </c>
      <c r="G392" s="13" t="s">
        <v>20</v>
      </c>
      <c r="H392" s="18">
        <v>290</v>
      </c>
      <c r="I392" s="13" t="s">
        <v>21</v>
      </c>
      <c r="J392" s="13" t="s">
        <v>683</v>
      </c>
      <c r="K392" s="13"/>
      <c r="L392" s="17"/>
      <c r="M392" s="13"/>
      <c r="N392" s="17"/>
      <c r="O392" s="13" t="s">
        <v>161</v>
      </c>
      <c r="P392" s="13">
        <v>1</v>
      </c>
    </row>
    <row r="393" spans="1:16">
      <c r="A393" s="10">
        <v>390</v>
      </c>
      <c r="B393" s="13" t="s">
        <v>706</v>
      </c>
      <c r="C393" s="13" t="str">
        <f>"513021199303020451"</f>
        <v>513021199303020451</v>
      </c>
      <c r="D393" s="13" t="str">
        <f t="shared" si="31"/>
        <v>513021********0451</v>
      </c>
      <c r="E393" s="13" t="str">
        <f>IF(MOD(MID(C393,17,1),2)=1,"男","女")</f>
        <v>男</v>
      </c>
      <c r="F393" s="17">
        <f ca="1" t="shared" ref="F393:F421" si="32">YEAR(TODAY())-MID(C393,7,4)</f>
        <v>31</v>
      </c>
      <c r="G393" s="13" t="s">
        <v>20</v>
      </c>
      <c r="H393" s="18">
        <v>240</v>
      </c>
      <c r="I393" s="13" t="s">
        <v>21</v>
      </c>
      <c r="J393" s="13" t="s">
        <v>683</v>
      </c>
      <c r="K393" s="13"/>
      <c r="L393" s="17" t="str">
        <f>VLOOKUP(C393,[1]Sheet1!$B$2:$U$630,20,0)</f>
        <v>精神三级;</v>
      </c>
      <c r="M393" s="13" t="s">
        <v>416</v>
      </c>
      <c r="N393" s="17"/>
      <c r="O393" s="13" t="s">
        <v>417</v>
      </c>
      <c r="P393" s="13">
        <v>1</v>
      </c>
    </row>
    <row r="394" spans="1:16">
      <c r="A394" s="10">
        <v>391</v>
      </c>
      <c r="B394" s="13" t="s">
        <v>707</v>
      </c>
      <c r="C394" s="13" t="str">
        <f>"513021193910180441"</f>
        <v>513021193910180441</v>
      </c>
      <c r="D394" s="13" t="str">
        <f t="shared" si="31"/>
        <v>513021********0441</v>
      </c>
      <c r="E394" s="13" t="str">
        <f t="shared" ref="E394:E426" si="33">IF(MOD(MID(C394,17,1),2)=1,"男","女")</f>
        <v>女</v>
      </c>
      <c r="F394" s="17">
        <f ca="1" t="shared" si="32"/>
        <v>85</v>
      </c>
      <c r="G394" s="13" t="s">
        <v>20</v>
      </c>
      <c r="H394" s="18">
        <v>240</v>
      </c>
      <c r="I394" s="13" t="s">
        <v>21</v>
      </c>
      <c r="J394" s="13" t="s">
        <v>683</v>
      </c>
      <c r="K394" s="13"/>
      <c r="L394" s="17"/>
      <c r="M394" s="13" t="s">
        <v>416</v>
      </c>
      <c r="N394" s="17"/>
      <c r="O394" s="13" t="s">
        <v>417</v>
      </c>
      <c r="P394" s="13">
        <v>1</v>
      </c>
    </row>
    <row r="395" spans="1:16">
      <c r="A395" s="10">
        <v>392</v>
      </c>
      <c r="B395" s="13" t="s">
        <v>708</v>
      </c>
      <c r="C395" s="13" t="str">
        <f>"513021198806180452"</f>
        <v>513021198806180452</v>
      </c>
      <c r="D395" s="13" t="str">
        <f t="shared" si="31"/>
        <v>513021********0452</v>
      </c>
      <c r="E395" s="13" t="str">
        <f t="shared" si="33"/>
        <v>男</v>
      </c>
      <c r="F395" s="17">
        <f ca="1" t="shared" si="32"/>
        <v>36</v>
      </c>
      <c r="G395" s="13" t="s">
        <v>20</v>
      </c>
      <c r="H395" s="18">
        <v>220</v>
      </c>
      <c r="I395" s="13" t="s">
        <v>21</v>
      </c>
      <c r="J395" s="13" t="s">
        <v>683</v>
      </c>
      <c r="K395" s="13"/>
      <c r="L395" s="17" t="str">
        <f>VLOOKUP(C395,[1]Sheet1!$B$2:$U$630,20,0)</f>
        <v>精神二级;</v>
      </c>
      <c r="M395" s="13" t="s">
        <v>416</v>
      </c>
      <c r="N395" s="17" t="s">
        <v>34</v>
      </c>
      <c r="O395" s="13"/>
      <c r="P395" s="13">
        <v>3</v>
      </c>
    </row>
    <row r="396" ht="15.6" spans="1:16">
      <c r="A396" s="10">
        <v>393</v>
      </c>
      <c r="B396" s="34" t="s">
        <v>709</v>
      </c>
      <c r="C396" s="34" t="s">
        <v>710</v>
      </c>
      <c r="D396" s="13" t="str">
        <f t="shared" si="31"/>
        <v>511721********5711</v>
      </c>
      <c r="E396" s="13" t="str">
        <f t="shared" si="33"/>
        <v>男</v>
      </c>
      <c r="F396" s="17">
        <f ca="1" t="shared" si="32"/>
        <v>22</v>
      </c>
      <c r="G396" s="13" t="s">
        <v>492</v>
      </c>
      <c r="H396" s="20"/>
      <c r="I396" s="13" t="s">
        <v>21</v>
      </c>
      <c r="J396" s="13" t="s">
        <v>683</v>
      </c>
      <c r="K396" s="13"/>
      <c r="L396" s="17"/>
      <c r="M396" s="13" t="s">
        <v>416</v>
      </c>
      <c r="N396" s="17" t="s">
        <v>34</v>
      </c>
      <c r="O396" s="13"/>
      <c r="P396" s="13"/>
    </row>
    <row r="397" ht="15.6" spans="1:16">
      <c r="A397" s="10">
        <v>394</v>
      </c>
      <c r="B397" s="34" t="s">
        <v>711</v>
      </c>
      <c r="C397" s="34" t="s">
        <v>712</v>
      </c>
      <c r="D397" s="13" t="str">
        <f t="shared" si="31"/>
        <v>513021********0453</v>
      </c>
      <c r="E397" s="13" t="str">
        <f t="shared" si="33"/>
        <v>男</v>
      </c>
      <c r="F397" s="17">
        <f ca="1" t="shared" si="32"/>
        <v>59</v>
      </c>
      <c r="G397" s="13" t="s">
        <v>429</v>
      </c>
      <c r="H397" s="20"/>
      <c r="I397" s="13" t="s">
        <v>21</v>
      </c>
      <c r="J397" s="13" t="s">
        <v>683</v>
      </c>
      <c r="K397" s="13"/>
      <c r="L397" s="17"/>
      <c r="M397" s="13" t="s">
        <v>416</v>
      </c>
      <c r="N397" s="17" t="s">
        <v>34</v>
      </c>
      <c r="O397" s="13"/>
      <c r="P397" s="13"/>
    </row>
    <row r="398" spans="1:16">
      <c r="A398" s="10">
        <v>395</v>
      </c>
      <c r="B398" s="13" t="s">
        <v>713</v>
      </c>
      <c r="C398" s="13" t="str">
        <f>"513021193911270449"</f>
        <v>513021193911270449</v>
      </c>
      <c r="D398" s="13" t="str">
        <f t="shared" si="31"/>
        <v>513021********0449</v>
      </c>
      <c r="E398" s="13" t="str">
        <f t="shared" si="33"/>
        <v>女</v>
      </c>
      <c r="F398" s="17">
        <f ca="1" t="shared" si="32"/>
        <v>85</v>
      </c>
      <c r="G398" s="13" t="s">
        <v>20</v>
      </c>
      <c r="H398" s="18">
        <v>240</v>
      </c>
      <c r="I398" s="13" t="s">
        <v>21</v>
      </c>
      <c r="J398" s="13" t="s">
        <v>683</v>
      </c>
      <c r="K398" s="13"/>
      <c r="L398" s="17"/>
      <c r="M398" s="13" t="s">
        <v>416</v>
      </c>
      <c r="N398" s="17"/>
      <c r="O398" s="13" t="s">
        <v>417</v>
      </c>
      <c r="P398" s="13">
        <v>1</v>
      </c>
    </row>
    <row r="399" spans="1:16">
      <c r="A399" s="10">
        <v>396</v>
      </c>
      <c r="B399" s="13" t="s">
        <v>714</v>
      </c>
      <c r="C399" s="13" t="str">
        <f>"513021194512080458"</f>
        <v>513021194512080458</v>
      </c>
      <c r="D399" s="13" t="str">
        <f t="shared" si="31"/>
        <v>513021********0458</v>
      </c>
      <c r="E399" s="13" t="str">
        <f t="shared" si="33"/>
        <v>男</v>
      </c>
      <c r="F399" s="17">
        <f ca="1" t="shared" si="32"/>
        <v>79</v>
      </c>
      <c r="G399" s="13" t="s">
        <v>20</v>
      </c>
      <c r="H399" s="18">
        <v>220</v>
      </c>
      <c r="I399" s="13" t="s">
        <v>21</v>
      </c>
      <c r="J399" s="13" t="s">
        <v>683</v>
      </c>
      <c r="K399" s="13"/>
      <c r="L399" s="17" t="str">
        <f>VLOOKUP(C399,[1]Sheet1!$B$2:$U$630,20,0)</f>
        <v>肢体四级;</v>
      </c>
      <c r="M399" s="13" t="s">
        <v>416</v>
      </c>
      <c r="N399" s="17" t="s">
        <v>34</v>
      </c>
      <c r="O399" s="13"/>
      <c r="P399" s="13">
        <v>6</v>
      </c>
    </row>
    <row r="400" ht="15.6" spans="1:16">
      <c r="A400" s="10">
        <v>397</v>
      </c>
      <c r="B400" s="34" t="s">
        <v>715</v>
      </c>
      <c r="C400" s="34" t="s">
        <v>716</v>
      </c>
      <c r="D400" s="13" t="str">
        <f t="shared" si="31"/>
        <v>513021********0449</v>
      </c>
      <c r="E400" s="13" t="str">
        <f t="shared" si="33"/>
        <v>女</v>
      </c>
      <c r="F400" s="17">
        <f ca="1" t="shared" si="32"/>
        <v>75</v>
      </c>
      <c r="G400" s="13" t="s">
        <v>37</v>
      </c>
      <c r="H400" s="20"/>
      <c r="I400" s="13" t="s">
        <v>21</v>
      </c>
      <c r="J400" s="13" t="s">
        <v>683</v>
      </c>
      <c r="K400" s="13"/>
      <c r="L400" s="17"/>
      <c r="M400" s="13" t="s">
        <v>416</v>
      </c>
      <c r="N400" s="17" t="s">
        <v>34</v>
      </c>
      <c r="O400" s="13"/>
      <c r="P400" s="13"/>
    </row>
    <row r="401" ht="15.6" spans="1:16">
      <c r="A401" s="10">
        <v>398</v>
      </c>
      <c r="B401" s="34" t="s">
        <v>717</v>
      </c>
      <c r="C401" s="34" t="s">
        <v>718</v>
      </c>
      <c r="D401" s="13" t="str">
        <f t="shared" si="31"/>
        <v>513021********0458</v>
      </c>
      <c r="E401" s="13" t="str">
        <f t="shared" si="33"/>
        <v>男</v>
      </c>
      <c r="F401" s="17">
        <f ca="1" t="shared" si="32"/>
        <v>52</v>
      </c>
      <c r="G401" s="13" t="s">
        <v>429</v>
      </c>
      <c r="H401" s="20"/>
      <c r="I401" s="13" t="s">
        <v>21</v>
      </c>
      <c r="J401" s="13" t="s">
        <v>683</v>
      </c>
      <c r="K401" s="13"/>
      <c r="L401" s="17"/>
      <c r="M401" s="13" t="s">
        <v>416</v>
      </c>
      <c r="N401" s="17" t="s">
        <v>34</v>
      </c>
      <c r="O401" s="13"/>
      <c r="P401" s="13"/>
    </row>
    <row r="402" ht="15.6" spans="1:16">
      <c r="A402" s="10">
        <v>399</v>
      </c>
      <c r="B402" s="34" t="s">
        <v>719</v>
      </c>
      <c r="C402" s="34" t="s">
        <v>720</v>
      </c>
      <c r="D402" s="13" t="str">
        <f t="shared" si="31"/>
        <v>513021********0486</v>
      </c>
      <c r="E402" s="13" t="str">
        <f t="shared" si="33"/>
        <v>女</v>
      </c>
      <c r="F402" s="17">
        <f ca="1" t="shared" si="32"/>
        <v>49</v>
      </c>
      <c r="G402" s="13" t="s">
        <v>513</v>
      </c>
      <c r="H402" s="20"/>
      <c r="I402" s="13" t="s">
        <v>21</v>
      </c>
      <c r="J402" s="13" t="s">
        <v>683</v>
      </c>
      <c r="K402" s="13"/>
      <c r="L402" s="17"/>
      <c r="M402" s="13" t="s">
        <v>416</v>
      </c>
      <c r="N402" s="17" t="s">
        <v>34</v>
      </c>
      <c r="O402" s="13"/>
      <c r="P402" s="13"/>
    </row>
    <row r="403" ht="15.6" spans="1:16">
      <c r="A403" s="10">
        <v>400</v>
      </c>
      <c r="B403" s="34" t="s">
        <v>721</v>
      </c>
      <c r="C403" s="34" t="s">
        <v>722</v>
      </c>
      <c r="D403" s="13" t="str">
        <f t="shared" si="31"/>
        <v>513021********0455</v>
      </c>
      <c r="E403" s="13" t="str">
        <f t="shared" si="33"/>
        <v>男</v>
      </c>
      <c r="F403" s="17">
        <f ca="1" t="shared" si="32"/>
        <v>26</v>
      </c>
      <c r="G403" s="13" t="s">
        <v>469</v>
      </c>
      <c r="H403" s="20"/>
      <c r="I403" s="13" t="s">
        <v>21</v>
      </c>
      <c r="J403" s="13" t="s">
        <v>683</v>
      </c>
      <c r="K403" s="13"/>
      <c r="L403" s="17"/>
      <c r="M403" s="13" t="s">
        <v>416</v>
      </c>
      <c r="N403" s="17" t="s">
        <v>34</v>
      </c>
      <c r="O403" s="13"/>
      <c r="P403" s="13"/>
    </row>
    <row r="404" ht="15.6" spans="1:16">
      <c r="A404" s="10">
        <v>401</v>
      </c>
      <c r="B404" s="34" t="s">
        <v>723</v>
      </c>
      <c r="C404" s="34" t="s">
        <v>724</v>
      </c>
      <c r="D404" s="13" t="str">
        <f t="shared" si="31"/>
        <v>511721********5711</v>
      </c>
      <c r="E404" s="13" t="str">
        <f t="shared" si="33"/>
        <v>男</v>
      </c>
      <c r="F404" s="17">
        <f ca="1" t="shared" si="32"/>
        <v>21</v>
      </c>
      <c r="G404" s="13" t="s">
        <v>469</v>
      </c>
      <c r="H404" s="20"/>
      <c r="I404" s="13" t="s">
        <v>21</v>
      </c>
      <c r="J404" s="13" t="s">
        <v>683</v>
      </c>
      <c r="K404" s="13"/>
      <c r="L404" s="17"/>
      <c r="M404" s="13" t="s">
        <v>416</v>
      </c>
      <c r="N404" s="17" t="s">
        <v>34</v>
      </c>
      <c r="O404" s="13"/>
      <c r="P404" s="13"/>
    </row>
    <row r="405" spans="1:16">
      <c r="A405" s="10">
        <v>402</v>
      </c>
      <c r="B405" s="13" t="s">
        <v>725</v>
      </c>
      <c r="C405" s="13" t="str">
        <f>"513021194503110459"</f>
        <v>513021194503110459</v>
      </c>
      <c r="D405" s="13" t="str">
        <f t="shared" si="31"/>
        <v>513021********0459</v>
      </c>
      <c r="E405" s="13" t="str">
        <f t="shared" si="33"/>
        <v>男</v>
      </c>
      <c r="F405" s="17">
        <f ca="1" t="shared" si="32"/>
        <v>79</v>
      </c>
      <c r="G405" s="13" t="s">
        <v>20</v>
      </c>
      <c r="H405" s="18">
        <v>240</v>
      </c>
      <c r="I405" s="13" t="s">
        <v>21</v>
      </c>
      <c r="J405" s="13" t="s">
        <v>683</v>
      </c>
      <c r="K405" s="13"/>
      <c r="L405" s="17"/>
      <c r="M405" s="13" t="s">
        <v>416</v>
      </c>
      <c r="N405" s="17"/>
      <c r="O405" s="13" t="s">
        <v>417</v>
      </c>
      <c r="P405" s="13">
        <v>1</v>
      </c>
    </row>
    <row r="406" spans="1:16">
      <c r="A406" s="10">
        <v>403</v>
      </c>
      <c r="B406" s="13" t="s">
        <v>726</v>
      </c>
      <c r="C406" s="13" t="str">
        <f>"513021195206040452"</f>
        <v>513021195206040452</v>
      </c>
      <c r="D406" s="13" t="str">
        <f t="shared" si="31"/>
        <v>513021********0452</v>
      </c>
      <c r="E406" s="13" t="str">
        <f t="shared" si="33"/>
        <v>男</v>
      </c>
      <c r="F406" s="17">
        <f ca="1" t="shared" si="32"/>
        <v>72</v>
      </c>
      <c r="G406" s="13" t="s">
        <v>20</v>
      </c>
      <c r="H406" s="18">
        <v>240</v>
      </c>
      <c r="I406" s="13" t="s">
        <v>21</v>
      </c>
      <c r="J406" s="13" t="s">
        <v>683</v>
      </c>
      <c r="K406" s="13"/>
      <c r="L406" s="17"/>
      <c r="M406" s="13" t="s">
        <v>416</v>
      </c>
      <c r="N406" s="17"/>
      <c r="O406" s="13" t="s">
        <v>417</v>
      </c>
      <c r="P406" s="13">
        <v>1</v>
      </c>
    </row>
    <row r="407" spans="1:16">
      <c r="A407" s="10">
        <v>404</v>
      </c>
      <c r="B407" s="13" t="s">
        <v>727</v>
      </c>
      <c r="C407" s="13" t="str">
        <f>"513021196106040441"</f>
        <v>513021196106040441</v>
      </c>
      <c r="D407" s="13" t="str">
        <f t="shared" si="31"/>
        <v>513021********0441</v>
      </c>
      <c r="E407" s="13" t="str">
        <f t="shared" si="33"/>
        <v>女</v>
      </c>
      <c r="F407" s="17">
        <f ca="1" t="shared" si="32"/>
        <v>63</v>
      </c>
      <c r="G407" s="13" t="s">
        <v>20</v>
      </c>
      <c r="H407" s="18">
        <v>240</v>
      </c>
      <c r="I407" s="13" t="s">
        <v>21</v>
      </c>
      <c r="J407" s="13" t="s">
        <v>683</v>
      </c>
      <c r="K407" s="13"/>
      <c r="L407" s="17"/>
      <c r="M407" s="13" t="s">
        <v>416</v>
      </c>
      <c r="N407" s="17"/>
      <c r="O407" s="13" t="s">
        <v>417</v>
      </c>
      <c r="P407" s="13">
        <v>1</v>
      </c>
    </row>
    <row r="408" spans="1:16">
      <c r="A408" s="10">
        <v>405</v>
      </c>
      <c r="B408" s="13" t="s">
        <v>728</v>
      </c>
      <c r="C408" s="13" t="s">
        <v>729</v>
      </c>
      <c r="D408" s="13" t="str">
        <f t="shared" si="31"/>
        <v>513021********044X</v>
      </c>
      <c r="E408" s="13" t="str">
        <f t="shared" si="33"/>
        <v>女</v>
      </c>
      <c r="F408" s="17">
        <f ca="1" t="shared" si="32"/>
        <v>55</v>
      </c>
      <c r="G408" s="13" t="s">
        <v>20</v>
      </c>
      <c r="H408" s="18">
        <v>240</v>
      </c>
      <c r="I408" s="13" t="s">
        <v>21</v>
      </c>
      <c r="J408" s="13" t="s">
        <v>683</v>
      </c>
      <c r="K408" s="13"/>
      <c r="L408" s="17" t="str">
        <f>VLOOKUP(C408,[1]Sheet1!$B$2:$U$630,20,0)</f>
        <v>视力四级;</v>
      </c>
      <c r="M408" s="13" t="s">
        <v>416</v>
      </c>
      <c r="N408" s="17"/>
      <c r="O408" s="13" t="s">
        <v>417</v>
      </c>
      <c r="P408" s="13">
        <v>1</v>
      </c>
    </row>
    <row r="409" spans="1:16">
      <c r="A409" s="10">
        <v>406</v>
      </c>
      <c r="B409" s="13" t="s">
        <v>730</v>
      </c>
      <c r="C409" s="13" t="str">
        <f>"513021194906160450"</f>
        <v>513021194906160450</v>
      </c>
      <c r="D409" s="13" t="str">
        <f t="shared" si="31"/>
        <v>513021********0450</v>
      </c>
      <c r="E409" s="13" t="str">
        <f t="shared" si="33"/>
        <v>男</v>
      </c>
      <c r="F409" s="17">
        <f ca="1" t="shared" si="32"/>
        <v>75</v>
      </c>
      <c r="G409" s="13" t="s">
        <v>20</v>
      </c>
      <c r="H409" s="18">
        <v>240</v>
      </c>
      <c r="I409" s="13" t="s">
        <v>21</v>
      </c>
      <c r="J409" s="13" t="s">
        <v>683</v>
      </c>
      <c r="K409" s="13"/>
      <c r="L409" s="17"/>
      <c r="M409" s="17" t="s">
        <v>278</v>
      </c>
      <c r="N409" s="17"/>
      <c r="O409" s="13" t="s">
        <v>417</v>
      </c>
      <c r="P409" s="13">
        <v>1</v>
      </c>
    </row>
    <row r="410" spans="1:16">
      <c r="A410" s="10">
        <v>407</v>
      </c>
      <c r="B410" s="13" t="s">
        <v>731</v>
      </c>
      <c r="C410" s="13" t="str">
        <f>"513021195301280446"</f>
        <v>513021195301280446</v>
      </c>
      <c r="D410" s="13" t="str">
        <f t="shared" si="31"/>
        <v>513021********0446</v>
      </c>
      <c r="E410" s="13" t="str">
        <f t="shared" si="33"/>
        <v>女</v>
      </c>
      <c r="F410" s="17">
        <f ca="1" t="shared" si="32"/>
        <v>71</v>
      </c>
      <c r="G410" s="13" t="s">
        <v>20</v>
      </c>
      <c r="H410" s="18">
        <v>240</v>
      </c>
      <c r="I410" s="13" t="s">
        <v>21</v>
      </c>
      <c r="J410" s="13" t="s">
        <v>683</v>
      </c>
      <c r="K410" s="13"/>
      <c r="L410" s="17"/>
      <c r="M410" s="13" t="s">
        <v>416</v>
      </c>
      <c r="N410" s="17"/>
      <c r="O410" s="13" t="s">
        <v>417</v>
      </c>
      <c r="P410" s="13">
        <v>1</v>
      </c>
    </row>
    <row r="411" spans="1:16">
      <c r="A411" s="10">
        <v>408</v>
      </c>
      <c r="B411" s="13" t="s">
        <v>732</v>
      </c>
      <c r="C411" s="13" t="str">
        <f>"513021195205240444"</f>
        <v>513021195205240444</v>
      </c>
      <c r="D411" s="13" t="str">
        <f t="shared" si="31"/>
        <v>513021********0444</v>
      </c>
      <c r="E411" s="13" t="str">
        <f t="shared" si="33"/>
        <v>女</v>
      </c>
      <c r="F411" s="17">
        <f ca="1" t="shared" si="32"/>
        <v>72</v>
      </c>
      <c r="G411" s="13" t="s">
        <v>20</v>
      </c>
      <c r="H411" s="18">
        <v>240</v>
      </c>
      <c r="I411" s="13" t="s">
        <v>21</v>
      </c>
      <c r="J411" s="13" t="s">
        <v>683</v>
      </c>
      <c r="K411" s="13"/>
      <c r="L411" s="17"/>
      <c r="M411" s="13" t="s">
        <v>416</v>
      </c>
      <c r="N411" s="17"/>
      <c r="O411" s="13" t="s">
        <v>417</v>
      </c>
      <c r="P411" s="13">
        <v>1</v>
      </c>
    </row>
    <row r="412" spans="1:16">
      <c r="A412" s="10">
        <v>409</v>
      </c>
      <c r="B412" s="13" t="s">
        <v>733</v>
      </c>
      <c r="C412" s="13" t="str">
        <f>"513021194603270441"</f>
        <v>513021194603270441</v>
      </c>
      <c r="D412" s="13" t="str">
        <f t="shared" si="31"/>
        <v>513021********0441</v>
      </c>
      <c r="E412" s="13" t="str">
        <f t="shared" si="33"/>
        <v>女</v>
      </c>
      <c r="F412" s="17">
        <f ca="1" t="shared" si="32"/>
        <v>78</v>
      </c>
      <c r="G412" s="13" t="s">
        <v>20</v>
      </c>
      <c r="H412" s="18">
        <v>240</v>
      </c>
      <c r="I412" s="13" t="s">
        <v>21</v>
      </c>
      <c r="J412" s="13" t="s">
        <v>683</v>
      </c>
      <c r="K412" s="13"/>
      <c r="L412" s="17"/>
      <c r="M412" s="13" t="s">
        <v>416</v>
      </c>
      <c r="N412" s="17"/>
      <c r="O412" s="13" t="s">
        <v>417</v>
      </c>
      <c r="P412" s="13">
        <v>1</v>
      </c>
    </row>
    <row r="413" spans="1:16">
      <c r="A413" s="10">
        <v>410</v>
      </c>
      <c r="B413" s="13" t="s">
        <v>734</v>
      </c>
      <c r="C413" s="13" t="s">
        <v>735</v>
      </c>
      <c r="D413" s="13" t="str">
        <f t="shared" si="31"/>
        <v>513021********045X</v>
      </c>
      <c r="E413" s="13" t="str">
        <f t="shared" si="33"/>
        <v>男</v>
      </c>
      <c r="F413" s="17">
        <f ca="1" t="shared" si="32"/>
        <v>55</v>
      </c>
      <c r="G413" s="13" t="s">
        <v>20</v>
      </c>
      <c r="H413" s="18">
        <v>240</v>
      </c>
      <c r="I413" s="13" t="s">
        <v>21</v>
      </c>
      <c r="J413" s="13" t="s">
        <v>683</v>
      </c>
      <c r="K413" s="13"/>
      <c r="L413" s="17"/>
      <c r="M413" s="13" t="s">
        <v>416</v>
      </c>
      <c r="N413" s="17"/>
      <c r="O413" s="13" t="s">
        <v>417</v>
      </c>
      <c r="P413" s="13">
        <v>1</v>
      </c>
    </row>
    <row r="414" spans="1:16">
      <c r="A414" s="10">
        <v>411</v>
      </c>
      <c r="B414" s="13" t="s">
        <v>736</v>
      </c>
      <c r="C414" s="13" t="str">
        <f>"513021195507180459"</f>
        <v>513021195507180459</v>
      </c>
      <c r="D414" s="13" t="str">
        <f t="shared" si="31"/>
        <v>513021********0459</v>
      </c>
      <c r="E414" s="13" t="str">
        <f t="shared" si="33"/>
        <v>男</v>
      </c>
      <c r="F414" s="17">
        <f ca="1" t="shared" si="32"/>
        <v>69</v>
      </c>
      <c r="G414" s="13" t="s">
        <v>20</v>
      </c>
      <c r="H414" s="18">
        <v>240</v>
      </c>
      <c r="I414" s="13" t="s">
        <v>21</v>
      </c>
      <c r="J414" s="13" t="s">
        <v>683</v>
      </c>
      <c r="K414" s="13"/>
      <c r="L414" s="17"/>
      <c r="M414" s="13" t="s">
        <v>416</v>
      </c>
      <c r="N414" s="17"/>
      <c r="O414" s="13" t="s">
        <v>417</v>
      </c>
      <c r="P414" s="13">
        <v>1</v>
      </c>
    </row>
    <row r="415" spans="1:16">
      <c r="A415" s="10">
        <v>412</v>
      </c>
      <c r="B415" s="13" t="s">
        <v>737</v>
      </c>
      <c r="C415" s="13" t="str">
        <f>"513021194306020454"</f>
        <v>513021194306020454</v>
      </c>
      <c r="D415" s="13" t="str">
        <f t="shared" si="31"/>
        <v>513021********0454</v>
      </c>
      <c r="E415" s="13" t="str">
        <f t="shared" si="33"/>
        <v>男</v>
      </c>
      <c r="F415" s="17">
        <f ca="1" t="shared" si="32"/>
        <v>81</v>
      </c>
      <c r="G415" s="13" t="s">
        <v>20</v>
      </c>
      <c r="H415" s="18">
        <v>440</v>
      </c>
      <c r="I415" s="13" t="s">
        <v>21</v>
      </c>
      <c r="J415" s="13" t="s">
        <v>683</v>
      </c>
      <c r="K415" s="13"/>
      <c r="L415" s="17"/>
      <c r="M415" s="13" t="s">
        <v>416</v>
      </c>
      <c r="N415" s="17" t="s">
        <v>34</v>
      </c>
      <c r="O415" s="13"/>
      <c r="P415" s="13">
        <v>2</v>
      </c>
    </row>
    <row r="416" ht="15.6" spans="1:16">
      <c r="A416" s="10">
        <v>413</v>
      </c>
      <c r="B416" s="34" t="s">
        <v>738</v>
      </c>
      <c r="C416" s="34" t="s">
        <v>739</v>
      </c>
      <c r="D416" s="13" t="str">
        <f t="shared" si="31"/>
        <v>513021********0442</v>
      </c>
      <c r="E416" s="13" t="str">
        <f t="shared" si="33"/>
        <v>女</v>
      </c>
      <c r="F416" s="17">
        <f ca="1" t="shared" si="32"/>
        <v>79</v>
      </c>
      <c r="G416" s="13" t="s">
        <v>37</v>
      </c>
      <c r="H416" s="20"/>
      <c r="I416" s="13" t="s">
        <v>21</v>
      </c>
      <c r="J416" s="13" t="s">
        <v>683</v>
      </c>
      <c r="K416" s="13"/>
      <c r="L416" s="17"/>
      <c r="M416" s="13" t="s">
        <v>416</v>
      </c>
      <c r="N416" s="17" t="s">
        <v>34</v>
      </c>
      <c r="O416" s="13"/>
      <c r="P416" s="13"/>
    </row>
    <row r="417" spans="1:16">
      <c r="A417" s="10">
        <v>414</v>
      </c>
      <c r="B417" s="13" t="s">
        <v>740</v>
      </c>
      <c r="C417" s="13" t="str">
        <f>"513021195301150449"</f>
        <v>513021195301150449</v>
      </c>
      <c r="D417" s="13" t="str">
        <f t="shared" si="31"/>
        <v>513021********0449</v>
      </c>
      <c r="E417" s="13" t="str">
        <f t="shared" si="33"/>
        <v>女</v>
      </c>
      <c r="F417" s="17">
        <f ca="1" t="shared" si="32"/>
        <v>71</v>
      </c>
      <c r="G417" s="13" t="s">
        <v>20</v>
      </c>
      <c r="H417" s="18">
        <v>240</v>
      </c>
      <c r="I417" s="13" t="s">
        <v>21</v>
      </c>
      <c r="J417" s="13" t="s">
        <v>683</v>
      </c>
      <c r="K417" s="13"/>
      <c r="L417" s="17" t="str">
        <f>VLOOKUP(C417,[1]Sheet1!$B$2:$U$630,20,0)</f>
        <v>肢体四级;</v>
      </c>
      <c r="M417" s="13" t="s">
        <v>416</v>
      </c>
      <c r="N417" s="17"/>
      <c r="O417" s="13" t="s">
        <v>417</v>
      </c>
      <c r="P417" s="13">
        <v>1</v>
      </c>
    </row>
    <row r="418" spans="1:16">
      <c r="A418" s="10">
        <v>415</v>
      </c>
      <c r="B418" s="13" t="s">
        <v>741</v>
      </c>
      <c r="C418" s="13" t="str">
        <f>"513021194909160472"</f>
        <v>513021194909160472</v>
      </c>
      <c r="D418" s="13" t="str">
        <f t="shared" si="31"/>
        <v>513021********0472</v>
      </c>
      <c r="E418" s="13" t="str">
        <f t="shared" si="33"/>
        <v>男</v>
      </c>
      <c r="F418" s="17">
        <f ca="1" t="shared" si="32"/>
        <v>75</v>
      </c>
      <c r="G418" s="13" t="s">
        <v>20</v>
      </c>
      <c r="H418" s="18">
        <v>240</v>
      </c>
      <c r="I418" s="13" t="s">
        <v>21</v>
      </c>
      <c r="J418" s="13" t="s">
        <v>683</v>
      </c>
      <c r="K418" s="13"/>
      <c r="L418" s="17"/>
      <c r="M418" s="13" t="s">
        <v>416</v>
      </c>
      <c r="N418" s="17"/>
      <c r="O418" s="13" t="s">
        <v>417</v>
      </c>
      <c r="P418" s="13">
        <v>1</v>
      </c>
    </row>
    <row r="419" spans="1:16">
      <c r="A419" s="10">
        <v>416</v>
      </c>
      <c r="B419" s="13" t="s">
        <v>742</v>
      </c>
      <c r="C419" s="13" t="str">
        <f>"513021194005130457"</f>
        <v>513021194005130457</v>
      </c>
      <c r="D419" s="13" t="str">
        <f t="shared" si="31"/>
        <v>513021********0457</v>
      </c>
      <c r="E419" s="13" t="str">
        <f t="shared" si="33"/>
        <v>男</v>
      </c>
      <c r="F419" s="17">
        <f ca="1" t="shared" si="32"/>
        <v>84</v>
      </c>
      <c r="G419" s="13" t="s">
        <v>20</v>
      </c>
      <c r="H419" s="18">
        <v>240</v>
      </c>
      <c r="I419" s="13" t="s">
        <v>21</v>
      </c>
      <c r="J419" s="13" t="s">
        <v>683</v>
      </c>
      <c r="K419" s="13"/>
      <c r="L419" s="17"/>
      <c r="M419" s="13" t="s">
        <v>416</v>
      </c>
      <c r="N419" s="17" t="s">
        <v>34</v>
      </c>
      <c r="O419" s="13" t="s">
        <v>417</v>
      </c>
      <c r="P419" s="13">
        <v>1</v>
      </c>
    </row>
    <row r="420" spans="1:16">
      <c r="A420" s="10">
        <v>417</v>
      </c>
      <c r="B420" s="13" t="s">
        <v>743</v>
      </c>
      <c r="C420" s="13" t="str">
        <f>"513021193509210456"</f>
        <v>513021193509210456</v>
      </c>
      <c r="D420" s="13" t="str">
        <f t="shared" si="31"/>
        <v>513021********0456</v>
      </c>
      <c r="E420" s="13" t="str">
        <f t="shared" si="33"/>
        <v>男</v>
      </c>
      <c r="F420" s="17">
        <f ca="1" t="shared" si="32"/>
        <v>89</v>
      </c>
      <c r="G420" s="13" t="s">
        <v>20</v>
      </c>
      <c r="H420" s="18">
        <v>240</v>
      </c>
      <c r="I420" s="13" t="s">
        <v>21</v>
      </c>
      <c r="J420" s="13" t="s">
        <v>683</v>
      </c>
      <c r="K420" s="13"/>
      <c r="L420" s="17"/>
      <c r="M420" s="13" t="s">
        <v>416</v>
      </c>
      <c r="N420" s="17"/>
      <c r="O420" s="13" t="s">
        <v>417</v>
      </c>
      <c r="P420" s="13">
        <v>1</v>
      </c>
    </row>
    <row r="421" spans="1:16">
      <c r="A421" s="10">
        <v>418</v>
      </c>
      <c r="B421" s="13" t="s">
        <v>744</v>
      </c>
      <c r="C421" s="13" t="str">
        <f>"513021194811200448"</f>
        <v>513021194811200448</v>
      </c>
      <c r="D421" s="13" t="str">
        <f t="shared" si="31"/>
        <v>513021********0448</v>
      </c>
      <c r="E421" s="13" t="str">
        <f t="shared" ref="E421:E441" si="34">IF(MOD(MID(C421,17,1),2)=1,"男","女")</f>
        <v>女</v>
      </c>
      <c r="F421" s="17">
        <f ca="1" t="shared" ref="F421:F478" si="35">YEAR(TODAY())-MID(C421,7,4)</f>
        <v>76</v>
      </c>
      <c r="G421" s="13" t="s">
        <v>20</v>
      </c>
      <c r="H421" s="18">
        <v>220</v>
      </c>
      <c r="I421" s="13" t="s">
        <v>21</v>
      </c>
      <c r="J421" s="13" t="s">
        <v>683</v>
      </c>
      <c r="K421" s="13"/>
      <c r="L421" s="17" t="str">
        <f>VLOOKUP(C421,[1]Sheet1!$B$2:$U$630,20,0)</f>
        <v>肢体四级;</v>
      </c>
      <c r="M421" s="13" t="s">
        <v>416</v>
      </c>
      <c r="N421" s="17" t="s">
        <v>34</v>
      </c>
      <c r="O421" s="13"/>
      <c r="P421" s="13">
        <v>2</v>
      </c>
    </row>
    <row r="422" ht="15.6" spans="1:16">
      <c r="A422" s="10">
        <v>419</v>
      </c>
      <c r="B422" s="34" t="s">
        <v>745</v>
      </c>
      <c r="C422" s="34" t="s">
        <v>746</v>
      </c>
      <c r="D422" s="13" t="str">
        <f t="shared" si="31"/>
        <v>513021********0459</v>
      </c>
      <c r="E422" s="13" t="str">
        <f t="shared" si="34"/>
        <v>男</v>
      </c>
      <c r="F422" s="17">
        <f ca="1" t="shared" si="35"/>
        <v>81</v>
      </c>
      <c r="G422" s="13" t="s">
        <v>37</v>
      </c>
      <c r="H422" s="20"/>
      <c r="I422" s="13" t="s">
        <v>21</v>
      </c>
      <c r="J422" s="13" t="s">
        <v>683</v>
      </c>
      <c r="K422" s="13"/>
      <c r="L422" s="17"/>
      <c r="M422" s="13" t="s">
        <v>416</v>
      </c>
      <c r="N422" s="17" t="s">
        <v>34</v>
      </c>
      <c r="O422" s="13"/>
      <c r="P422" s="13"/>
    </row>
    <row r="423" spans="1:16">
      <c r="A423" s="10">
        <v>420</v>
      </c>
      <c r="B423" s="13" t="s">
        <v>747</v>
      </c>
      <c r="C423" s="13" t="str">
        <f>"513021195212010452"</f>
        <v>513021195212010452</v>
      </c>
      <c r="D423" s="13" t="str">
        <f t="shared" si="31"/>
        <v>513021********0452</v>
      </c>
      <c r="E423" s="13" t="str">
        <f t="shared" si="34"/>
        <v>男</v>
      </c>
      <c r="F423" s="17">
        <f ca="1" t="shared" si="35"/>
        <v>72</v>
      </c>
      <c r="G423" s="13" t="s">
        <v>20</v>
      </c>
      <c r="H423" s="18">
        <v>240</v>
      </c>
      <c r="I423" s="13" t="s">
        <v>21</v>
      </c>
      <c r="J423" s="13" t="s">
        <v>683</v>
      </c>
      <c r="K423" s="13"/>
      <c r="L423" s="17"/>
      <c r="M423" s="13" t="s">
        <v>416</v>
      </c>
      <c r="N423" s="17"/>
      <c r="O423" s="13" t="s">
        <v>417</v>
      </c>
      <c r="P423" s="13">
        <v>1</v>
      </c>
    </row>
    <row r="424" spans="1:16">
      <c r="A424" s="10">
        <v>421</v>
      </c>
      <c r="B424" s="13" t="s">
        <v>748</v>
      </c>
      <c r="C424" s="13" t="str">
        <f>"513021195702030448"</f>
        <v>513021195702030448</v>
      </c>
      <c r="D424" s="13" t="str">
        <f t="shared" si="31"/>
        <v>513021********0448</v>
      </c>
      <c r="E424" s="13" t="str">
        <f t="shared" si="34"/>
        <v>女</v>
      </c>
      <c r="F424" s="17">
        <f ca="1" t="shared" si="35"/>
        <v>67</v>
      </c>
      <c r="G424" s="13" t="s">
        <v>20</v>
      </c>
      <c r="H424" s="18">
        <v>240</v>
      </c>
      <c r="I424" s="13" t="s">
        <v>21</v>
      </c>
      <c r="J424" s="13" t="s">
        <v>683</v>
      </c>
      <c r="K424" s="13"/>
      <c r="L424" s="17" t="str">
        <f>VLOOKUP(C424,[1]Sheet1!$B$2:$U$630,20,0)</f>
        <v>肢体四级;</v>
      </c>
      <c r="M424" s="13" t="s">
        <v>416</v>
      </c>
      <c r="N424" s="17"/>
      <c r="O424" s="13" t="s">
        <v>417</v>
      </c>
      <c r="P424" s="13">
        <v>1</v>
      </c>
    </row>
    <row r="425" spans="1:16">
      <c r="A425" s="10">
        <v>422</v>
      </c>
      <c r="B425" s="13" t="s">
        <v>749</v>
      </c>
      <c r="C425" s="13" t="str">
        <f>"513021193004020446"</f>
        <v>513021193004020446</v>
      </c>
      <c r="D425" s="13" t="str">
        <f t="shared" si="31"/>
        <v>513021********0446</v>
      </c>
      <c r="E425" s="13" t="str">
        <f t="shared" si="34"/>
        <v>女</v>
      </c>
      <c r="F425" s="17">
        <f ca="1" t="shared" si="35"/>
        <v>94</v>
      </c>
      <c r="G425" s="13" t="s">
        <v>20</v>
      </c>
      <c r="H425" s="18">
        <v>240</v>
      </c>
      <c r="I425" s="13" t="s">
        <v>21</v>
      </c>
      <c r="J425" s="13" t="s">
        <v>683</v>
      </c>
      <c r="K425" s="13"/>
      <c r="L425" s="17"/>
      <c r="M425" s="13" t="s">
        <v>416</v>
      </c>
      <c r="N425" s="17"/>
      <c r="O425" s="13" t="s">
        <v>417</v>
      </c>
      <c r="P425" s="13">
        <v>1</v>
      </c>
    </row>
    <row r="426" spans="1:16">
      <c r="A426" s="10">
        <v>423</v>
      </c>
      <c r="B426" s="13" t="s">
        <v>750</v>
      </c>
      <c r="C426" s="13" t="str">
        <f>"513021194502260447"</f>
        <v>513021194502260447</v>
      </c>
      <c r="D426" s="13" t="str">
        <f t="shared" si="31"/>
        <v>513021********0447</v>
      </c>
      <c r="E426" s="13" t="str">
        <f t="shared" si="34"/>
        <v>女</v>
      </c>
      <c r="F426" s="17">
        <f ca="1" t="shared" si="35"/>
        <v>79</v>
      </c>
      <c r="G426" s="13" t="s">
        <v>20</v>
      </c>
      <c r="H426" s="18">
        <v>240</v>
      </c>
      <c r="I426" s="13" t="s">
        <v>21</v>
      </c>
      <c r="J426" s="13" t="s">
        <v>683</v>
      </c>
      <c r="K426" s="13"/>
      <c r="L426" s="17"/>
      <c r="M426" s="13" t="s">
        <v>416</v>
      </c>
      <c r="N426" s="17"/>
      <c r="O426" s="13" t="s">
        <v>417</v>
      </c>
      <c r="P426" s="13">
        <v>1</v>
      </c>
    </row>
    <row r="427" spans="1:16">
      <c r="A427" s="10">
        <v>424</v>
      </c>
      <c r="B427" s="13" t="s">
        <v>751</v>
      </c>
      <c r="C427" s="13" t="s">
        <v>752</v>
      </c>
      <c r="D427" s="13" t="str">
        <f t="shared" si="31"/>
        <v>513021********044X</v>
      </c>
      <c r="E427" s="13" t="str">
        <f t="shared" si="34"/>
        <v>女</v>
      </c>
      <c r="F427" s="17">
        <f ca="1" t="shared" si="35"/>
        <v>60</v>
      </c>
      <c r="G427" s="13" t="s">
        <v>20</v>
      </c>
      <c r="H427" s="18">
        <v>240</v>
      </c>
      <c r="I427" s="13" t="s">
        <v>21</v>
      </c>
      <c r="J427" s="13" t="s">
        <v>683</v>
      </c>
      <c r="K427" s="13"/>
      <c r="L427" s="17"/>
      <c r="M427" s="13" t="s">
        <v>416</v>
      </c>
      <c r="N427" s="17"/>
      <c r="O427" s="13" t="s">
        <v>417</v>
      </c>
      <c r="P427" s="13">
        <v>1</v>
      </c>
    </row>
    <row r="428" spans="1:16">
      <c r="A428" s="10">
        <v>425</v>
      </c>
      <c r="B428" s="13" t="s">
        <v>753</v>
      </c>
      <c r="C428" s="13" t="str">
        <f>"513021193301200451"</f>
        <v>513021193301200451</v>
      </c>
      <c r="D428" s="13" t="str">
        <f t="shared" si="31"/>
        <v>513021********0451</v>
      </c>
      <c r="E428" s="13" t="str">
        <f t="shared" si="34"/>
        <v>男</v>
      </c>
      <c r="F428" s="17">
        <f ca="1" t="shared" si="35"/>
        <v>91</v>
      </c>
      <c r="G428" s="13" t="s">
        <v>20</v>
      </c>
      <c r="H428" s="18">
        <v>240</v>
      </c>
      <c r="I428" s="13" t="s">
        <v>21</v>
      </c>
      <c r="J428" s="13" t="s">
        <v>683</v>
      </c>
      <c r="K428" s="13"/>
      <c r="L428" s="17"/>
      <c r="M428" s="13" t="s">
        <v>416</v>
      </c>
      <c r="N428" s="17"/>
      <c r="O428" s="13" t="s">
        <v>417</v>
      </c>
      <c r="P428" s="13">
        <v>1</v>
      </c>
    </row>
    <row r="429" spans="1:16">
      <c r="A429" s="10">
        <v>426</v>
      </c>
      <c r="B429" s="13" t="s">
        <v>754</v>
      </c>
      <c r="C429" s="13" t="str">
        <f>"513021192512240440"</f>
        <v>513021192512240440</v>
      </c>
      <c r="D429" s="13" t="str">
        <f t="shared" si="31"/>
        <v>513021********0440</v>
      </c>
      <c r="E429" s="13" t="str">
        <f t="shared" si="34"/>
        <v>女</v>
      </c>
      <c r="F429" s="17">
        <f ca="1" t="shared" si="35"/>
        <v>99</v>
      </c>
      <c r="G429" s="13" t="s">
        <v>20</v>
      </c>
      <c r="H429" s="18">
        <v>240</v>
      </c>
      <c r="I429" s="13" t="s">
        <v>21</v>
      </c>
      <c r="J429" s="13" t="s">
        <v>683</v>
      </c>
      <c r="K429" s="13"/>
      <c r="L429" s="17"/>
      <c r="M429" s="13" t="s">
        <v>416</v>
      </c>
      <c r="N429" s="17"/>
      <c r="O429" s="13" t="s">
        <v>417</v>
      </c>
      <c r="P429" s="13">
        <v>1</v>
      </c>
    </row>
    <row r="430" spans="1:16">
      <c r="A430" s="10">
        <v>427</v>
      </c>
      <c r="B430" s="13" t="s">
        <v>755</v>
      </c>
      <c r="C430" s="13" t="str">
        <f>"513021195506150442"</f>
        <v>513021195506150442</v>
      </c>
      <c r="D430" s="13" t="str">
        <f t="shared" si="31"/>
        <v>513021********0442</v>
      </c>
      <c r="E430" s="13" t="str">
        <f t="shared" si="34"/>
        <v>女</v>
      </c>
      <c r="F430" s="17">
        <f ca="1" t="shared" si="35"/>
        <v>69</v>
      </c>
      <c r="G430" s="13" t="s">
        <v>20</v>
      </c>
      <c r="H430" s="18">
        <v>240</v>
      </c>
      <c r="I430" s="13" t="s">
        <v>21</v>
      </c>
      <c r="J430" s="13" t="s">
        <v>683</v>
      </c>
      <c r="K430" s="13"/>
      <c r="L430" s="17"/>
      <c r="M430" s="13" t="s">
        <v>416</v>
      </c>
      <c r="N430" s="17"/>
      <c r="O430" s="13" t="s">
        <v>417</v>
      </c>
      <c r="P430" s="13">
        <v>1</v>
      </c>
    </row>
    <row r="431" spans="1:16">
      <c r="A431" s="10">
        <v>428</v>
      </c>
      <c r="B431" s="13" t="s">
        <v>756</v>
      </c>
      <c r="C431" s="13" t="str">
        <f>"513021195111010461"</f>
        <v>513021195111010461</v>
      </c>
      <c r="D431" s="13" t="str">
        <f t="shared" si="31"/>
        <v>513021********0461</v>
      </c>
      <c r="E431" s="13" t="str">
        <f t="shared" si="34"/>
        <v>女</v>
      </c>
      <c r="F431" s="17">
        <f ca="1" t="shared" si="35"/>
        <v>73</v>
      </c>
      <c r="G431" s="13" t="s">
        <v>20</v>
      </c>
      <c r="H431" s="18">
        <v>240</v>
      </c>
      <c r="I431" s="13" t="s">
        <v>21</v>
      </c>
      <c r="J431" s="13" t="s">
        <v>683</v>
      </c>
      <c r="K431" s="13"/>
      <c r="L431" s="17" t="str">
        <f>VLOOKUP(C431,[1]Sheet1!$B$2:$U$630,20,0)</f>
        <v>视力三级;</v>
      </c>
      <c r="M431" s="13" t="s">
        <v>416</v>
      </c>
      <c r="N431" s="17"/>
      <c r="O431" s="13" t="s">
        <v>417</v>
      </c>
      <c r="P431" s="13">
        <v>1</v>
      </c>
    </row>
    <row r="432" spans="1:16">
      <c r="A432" s="10">
        <v>429</v>
      </c>
      <c r="B432" s="13" t="s">
        <v>757</v>
      </c>
      <c r="C432" s="13" t="str">
        <f>"513021194510030449"</f>
        <v>513021194510030449</v>
      </c>
      <c r="D432" s="13" t="str">
        <f t="shared" si="31"/>
        <v>513021********0449</v>
      </c>
      <c r="E432" s="13" t="str">
        <f t="shared" si="34"/>
        <v>女</v>
      </c>
      <c r="F432" s="17">
        <f ca="1" t="shared" si="35"/>
        <v>79</v>
      </c>
      <c r="G432" s="13" t="s">
        <v>20</v>
      </c>
      <c r="H432" s="18">
        <v>440</v>
      </c>
      <c r="I432" s="13" t="s">
        <v>21</v>
      </c>
      <c r="J432" s="13" t="s">
        <v>683</v>
      </c>
      <c r="K432" s="13"/>
      <c r="L432" s="17" t="str">
        <f>VLOOKUP(C432,[1]Sheet1!$B$2:$U$630,20,0)</f>
        <v>肢体三级;</v>
      </c>
      <c r="M432" s="13" t="s">
        <v>416</v>
      </c>
      <c r="N432" s="17" t="s">
        <v>34</v>
      </c>
      <c r="O432" s="13"/>
      <c r="P432" s="13">
        <v>5</v>
      </c>
    </row>
    <row r="433" ht="15.6" spans="1:16">
      <c r="A433" s="10">
        <v>430</v>
      </c>
      <c r="B433" s="34" t="s">
        <v>758</v>
      </c>
      <c r="C433" s="34" t="s">
        <v>759</v>
      </c>
      <c r="D433" s="13" t="str">
        <f t="shared" si="31"/>
        <v>513021********0458</v>
      </c>
      <c r="E433" s="13" t="str">
        <f t="shared" si="34"/>
        <v>男</v>
      </c>
      <c r="F433" s="17">
        <f ca="1" t="shared" si="35"/>
        <v>83</v>
      </c>
      <c r="G433" s="13" t="s">
        <v>37</v>
      </c>
      <c r="H433" s="20"/>
      <c r="I433" s="13" t="s">
        <v>21</v>
      </c>
      <c r="J433" s="13" t="s">
        <v>683</v>
      </c>
      <c r="K433" s="13"/>
      <c r="L433" s="17"/>
      <c r="M433" s="17" t="s">
        <v>278</v>
      </c>
      <c r="N433" s="17" t="s">
        <v>34</v>
      </c>
      <c r="O433" s="13"/>
      <c r="P433" s="13"/>
    </row>
    <row r="434" ht="15.6" spans="1:16">
      <c r="A434" s="10">
        <v>431</v>
      </c>
      <c r="B434" s="34" t="s">
        <v>760</v>
      </c>
      <c r="C434" s="34" t="s">
        <v>761</v>
      </c>
      <c r="D434" s="13" t="str">
        <f t="shared" si="31"/>
        <v>513021********0455</v>
      </c>
      <c r="E434" s="13" t="str">
        <f t="shared" si="34"/>
        <v>男</v>
      </c>
      <c r="F434" s="17">
        <f ca="1" t="shared" si="35"/>
        <v>52</v>
      </c>
      <c r="G434" s="13" t="s">
        <v>434</v>
      </c>
      <c r="H434" s="20"/>
      <c r="I434" s="13" t="s">
        <v>21</v>
      </c>
      <c r="J434" s="13" t="s">
        <v>683</v>
      </c>
      <c r="K434" s="13"/>
      <c r="L434" s="17"/>
      <c r="M434" s="13" t="s">
        <v>416</v>
      </c>
      <c r="N434" s="17" t="s">
        <v>34</v>
      </c>
      <c r="O434" s="13"/>
      <c r="P434" s="13"/>
    </row>
    <row r="435" ht="15.6" spans="1:16">
      <c r="A435" s="10">
        <v>432</v>
      </c>
      <c r="B435" s="34" t="s">
        <v>762</v>
      </c>
      <c r="C435" s="34" t="s">
        <v>763</v>
      </c>
      <c r="D435" s="13" t="str">
        <f t="shared" si="31"/>
        <v>513021********0455</v>
      </c>
      <c r="E435" s="13" t="str">
        <f t="shared" si="34"/>
        <v>男</v>
      </c>
      <c r="F435" s="17">
        <f ca="1" t="shared" si="35"/>
        <v>54</v>
      </c>
      <c r="G435" s="13" t="s">
        <v>434</v>
      </c>
      <c r="H435" s="20"/>
      <c r="I435" s="13" t="s">
        <v>21</v>
      </c>
      <c r="J435" s="13" t="s">
        <v>683</v>
      </c>
      <c r="K435" s="13"/>
      <c r="L435" s="17"/>
      <c r="M435" s="13" t="s">
        <v>416</v>
      </c>
      <c r="N435" s="17"/>
      <c r="O435" s="13"/>
      <c r="P435" s="13"/>
    </row>
    <row r="436" ht="15.6" spans="1:16">
      <c r="A436" s="10">
        <v>433</v>
      </c>
      <c r="B436" s="34" t="s">
        <v>764</v>
      </c>
      <c r="C436" s="34" t="s">
        <v>765</v>
      </c>
      <c r="D436" s="13" t="str">
        <f t="shared" si="31"/>
        <v>513021********045X</v>
      </c>
      <c r="E436" s="13" t="str">
        <f t="shared" si="34"/>
        <v>男</v>
      </c>
      <c r="F436" s="17">
        <f ca="1" t="shared" si="35"/>
        <v>25</v>
      </c>
      <c r="G436" s="34" t="s">
        <v>440</v>
      </c>
      <c r="H436" s="20"/>
      <c r="I436" s="13" t="s">
        <v>21</v>
      </c>
      <c r="J436" s="13" t="s">
        <v>683</v>
      </c>
      <c r="K436" s="13"/>
      <c r="L436" s="17" t="str">
        <f>VLOOKUP(C436,[1]Sheet1!$B$2:$U$630,20,0)</f>
        <v>精神二级;</v>
      </c>
      <c r="M436" s="13" t="s">
        <v>416</v>
      </c>
      <c r="N436" s="17"/>
      <c r="O436" s="13"/>
      <c r="P436" s="13"/>
    </row>
    <row r="437" spans="1:16">
      <c r="A437" s="10">
        <v>434</v>
      </c>
      <c r="B437" s="13" t="s">
        <v>766</v>
      </c>
      <c r="C437" s="13" t="str">
        <f>"513021193701140443"</f>
        <v>513021193701140443</v>
      </c>
      <c r="D437" s="13" t="str">
        <f t="shared" si="31"/>
        <v>513021********0443</v>
      </c>
      <c r="E437" s="13" t="str">
        <f t="shared" si="34"/>
        <v>女</v>
      </c>
      <c r="F437" s="17">
        <f ca="1" t="shared" si="35"/>
        <v>87</v>
      </c>
      <c r="G437" s="13" t="s">
        <v>20</v>
      </c>
      <c r="H437" s="18">
        <v>260</v>
      </c>
      <c r="I437" s="13" t="s">
        <v>21</v>
      </c>
      <c r="J437" s="13" t="s">
        <v>683</v>
      </c>
      <c r="K437" s="13"/>
      <c r="L437" s="17"/>
      <c r="M437" s="13" t="s">
        <v>416</v>
      </c>
      <c r="N437" s="17" t="s">
        <v>34</v>
      </c>
      <c r="O437" s="13"/>
      <c r="P437" s="13">
        <v>4</v>
      </c>
    </row>
    <row r="438" ht="15.6" spans="1:16">
      <c r="A438" s="10">
        <v>435</v>
      </c>
      <c r="B438" s="34" t="s">
        <v>767</v>
      </c>
      <c r="C438" s="34" t="s">
        <v>768</v>
      </c>
      <c r="D438" s="13" t="str">
        <f t="shared" si="31"/>
        <v>513021********0451</v>
      </c>
      <c r="E438" s="13" t="str">
        <f t="shared" si="34"/>
        <v>男</v>
      </c>
      <c r="F438" s="17">
        <f ca="1" t="shared" si="35"/>
        <v>59</v>
      </c>
      <c r="G438" s="13" t="s">
        <v>434</v>
      </c>
      <c r="H438" s="20"/>
      <c r="I438" s="13" t="s">
        <v>21</v>
      </c>
      <c r="J438" s="13" t="s">
        <v>683</v>
      </c>
      <c r="K438" s="13"/>
      <c r="L438" s="17"/>
      <c r="M438" s="13" t="s">
        <v>416</v>
      </c>
      <c r="N438" s="17"/>
      <c r="O438" s="13"/>
      <c r="P438" s="13"/>
    </row>
    <row r="439" ht="15.6" spans="1:16">
      <c r="A439" s="10">
        <v>436</v>
      </c>
      <c r="B439" s="34" t="s">
        <v>769</v>
      </c>
      <c r="C439" s="34" t="s">
        <v>770</v>
      </c>
      <c r="D439" s="13" t="str">
        <f t="shared" si="31"/>
        <v>513021********0442</v>
      </c>
      <c r="E439" s="13" t="str">
        <f t="shared" si="34"/>
        <v>女</v>
      </c>
      <c r="F439" s="17">
        <f ca="1" t="shared" si="35"/>
        <v>29</v>
      </c>
      <c r="G439" s="34" t="s">
        <v>440</v>
      </c>
      <c r="H439" s="20"/>
      <c r="I439" s="13" t="s">
        <v>21</v>
      </c>
      <c r="J439" s="13" t="s">
        <v>683</v>
      </c>
      <c r="K439" s="13"/>
      <c r="L439" s="17"/>
      <c r="M439" s="13" t="s">
        <v>416</v>
      </c>
      <c r="N439" s="17" t="s">
        <v>34</v>
      </c>
      <c r="O439" s="13"/>
      <c r="P439" s="13"/>
    </row>
    <row r="440" ht="15.6" spans="1:16">
      <c r="A440" s="10">
        <v>437</v>
      </c>
      <c r="B440" s="34" t="s">
        <v>771</v>
      </c>
      <c r="C440" s="34" t="s">
        <v>772</v>
      </c>
      <c r="D440" s="13" t="str">
        <f t="shared" si="31"/>
        <v>511721********5713</v>
      </c>
      <c r="E440" s="13" t="str">
        <f t="shared" si="34"/>
        <v>男</v>
      </c>
      <c r="F440" s="17">
        <f ca="1" t="shared" si="35"/>
        <v>19</v>
      </c>
      <c r="G440" s="34" t="s">
        <v>440</v>
      </c>
      <c r="H440" s="20"/>
      <c r="I440" s="13" t="s">
        <v>21</v>
      </c>
      <c r="J440" s="13" t="s">
        <v>683</v>
      </c>
      <c r="K440" s="13"/>
      <c r="L440" s="17"/>
      <c r="M440" s="13" t="s">
        <v>416</v>
      </c>
      <c r="N440" s="17" t="s">
        <v>34</v>
      </c>
      <c r="O440" s="13"/>
      <c r="P440" s="13"/>
    </row>
    <row r="441" spans="1:16">
      <c r="A441" s="10">
        <v>438</v>
      </c>
      <c r="B441" s="13" t="s">
        <v>773</v>
      </c>
      <c r="C441" s="13" t="str">
        <f>"513021195410050463"</f>
        <v>513021195410050463</v>
      </c>
      <c r="D441" s="13" t="str">
        <f t="shared" si="31"/>
        <v>513021********0463</v>
      </c>
      <c r="E441" s="13" t="str">
        <f t="shared" ref="E441:E478" si="36">IF(MOD(MID(C441,17,1),2)=1,"男","女")</f>
        <v>女</v>
      </c>
      <c r="F441" s="17">
        <f ca="1" t="shared" si="35"/>
        <v>70</v>
      </c>
      <c r="G441" s="13" t="s">
        <v>20</v>
      </c>
      <c r="H441" s="18">
        <v>240</v>
      </c>
      <c r="I441" s="13" t="s">
        <v>21</v>
      </c>
      <c r="J441" s="13" t="s">
        <v>683</v>
      </c>
      <c r="K441" s="13"/>
      <c r="L441" s="17"/>
      <c r="M441" s="13" t="s">
        <v>416</v>
      </c>
      <c r="N441" s="17"/>
      <c r="O441" s="13" t="s">
        <v>417</v>
      </c>
      <c r="P441" s="13">
        <v>1</v>
      </c>
    </row>
    <row r="442" spans="1:16">
      <c r="A442" s="10">
        <v>439</v>
      </c>
      <c r="B442" s="13" t="s">
        <v>774</v>
      </c>
      <c r="C442" s="13" t="str">
        <f>"513021193902180441"</f>
        <v>513021193902180441</v>
      </c>
      <c r="D442" s="13" t="str">
        <f t="shared" si="31"/>
        <v>513021********0441</v>
      </c>
      <c r="E442" s="13" t="str">
        <f t="shared" si="36"/>
        <v>女</v>
      </c>
      <c r="F442" s="17">
        <f ca="1" t="shared" si="35"/>
        <v>85</v>
      </c>
      <c r="G442" s="13" t="s">
        <v>20</v>
      </c>
      <c r="H442" s="18">
        <v>240</v>
      </c>
      <c r="I442" s="13" t="s">
        <v>21</v>
      </c>
      <c r="J442" s="13" t="s">
        <v>683</v>
      </c>
      <c r="K442" s="13"/>
      <c r="L442" s="17"/>
      <c r="M442" s="13" t="s">
        <v>416</v>
      </c>
      <c r="N442" s="17"/>
      <c r="O442" s="13" t="s">
        <v>417</v>
      </c>
      <c r="P442" s="13">
        <v>1</v>
      </c>
    </row>
    <row r="443" spans="1:16">
      <c r="A443" s="10">
        <v>440</v>
      </c>
      <c r="B443" s="13" t="s">
        <v>775</v>
      </c>
      <c r="C443" s="13" t="str">
        <f>"513021199211130469"</f>
        <v>513021199211130469</v>
      </c>
      <c r="D443" s="13" t="str">
        <f t="shared" si="31"/>
        <v>513021********0469</v>
      </c>
      <c r="E443" s="13" t="str">
        <f t="shared" si="36"/>
        <v>女</v>
      </c>
      <c r="F443" s="17">
        <f ca="1" t="shared" si="35"/>
        <v>32</v>
      </c>
      <c r="G443" s="13" t="s">
        <v>20</v>
      </c>
      <c r="H443" s="18">
        <v>220</v>
      </c>
      <c r="I443" s="13" t="s">
        <v>21</v>
      </c>
      <c r="J443" s="13" t="s">
        <v>683</v>
      </c>
      <c r="K443" s="13"/>
      <c r="L443" s="17" t="str">
        <f>VLOOKUP(C443,[1]Sheet1!$B$2:$U$630,20,0)</f>
        <v>肢体三级;</v>
      </c>
      <c r="M443" s="13" t="s">
        <v>416</v>
      </c>
      <c r="N443" s="17" t="s">
        <v>34</v>
      </c>
      <c r="O443" s="13"/>
      <c r="P443" s="13">
        <v>4</v>
      </c>
    </row>
    <row r="444" ht="15.6" spans="1:16">
      <c r="A444" s="10">
        <v>441</v>
      </c>
      <c r="B444" s="34" t="s">
        <v>776</v>
      </c>
      <c r="C444" s="34" t="s">
        <v>777</v>
      </c>
      <c r="D444" s="13" t="str">
        <f t="shared" si="31"/>
        <v>513021********0480</v>
      </c>
      <c r="E444" s="13" t="str">
        <f t="shared" si="36"/>
        <v>女</v>
      </c>
      <c r="F444" s="17">
        <f ca="1" t="shared" si="35"/>
        <v>54</v>
      </c>
      <c r="G444" s="13" t="s">
        <v>475</v>
      </c>
      <c r="H444" s="20"/>
      <c r="I444" s="13" t="s">
        <v>21</v>
      </c>
      <c r="J444" s="13" t="s">
        <v>683</v>
      </c>
      <c r="K444" s="13"/>
      <c r="L444" s="17"/>
      <c r="M444" s="13" t="s">
        <v>416</v>
      </c>
      <c r="N444" s="17" t="s">
        <v>34</v>
      </c>
      <c r="O444" s="13"/>
      <c r="P444" s="13"/>
    </row>
    <row r="445" ht="15.6" spans="1:16">
      <c r="A445" s="10">
        <v>442</v>
      </c>
      <c r="B445" s="34" t="s">
        <v>778</v>
      </c>
      <c r="C445" s="34" t="s">
        <v>779</v>
      </c>
      <c r="D445" s="13" t="str">
        <f t="shared" si="31"/>
        <v>511721********5729</v>
      </c>
      <c r="E445" s="13" t="str">
        <f t="shared" si="36"/>
        <v>女</v>
      </c>
      <c r="F445" s="17">
        <f ca="1" t="shared" si="35"/>
        <v>20</v>
      </c>
      <c r="G445" s="13" t="s">
        <v>780</v>
      </c>
      <c r="H445" s="20"/>
      <c r="I445" s="13" t="s">
        <v>21</v>
      </c>
      <c r="J445" s="13" t="s">
        <v>683</v>
      </c>
      <c r="K445" s="13"/>
      <c r="L445" s="17"/>
      <c r="M445" s="13" t="s">
        <v>416</v>
      </c>
      <c r="N445" s="17" t="s">
        <v>34</v>
      </c>
      <c r="O445" s="13"/>
      <c r="P445" s="13"/>
    </row>
    <row r="446" ht="15.6" spans="1:16">
      <c r="A446" s="10">
        <v>443</v>
      </c>
      <c r="B446" s="34" t="s">
        <v>781</v>
      </c>
      <c r="C446" s="34" t="s">
        <v>782</v>
      </c>
      <c r="D446" s="13" t="str">
        <f t="shared" si="31"/>
        <v>513021********0453</v>
      </c>
      <c r="E446" s="13" t="str">
        <f t="shared" si="36"/>
        <v>男</v>
      </c>
      <c r="F446" s="17">
        <f ca="1" t="shared" si="35"/>
        <v>55</v>
      </c>
      <c r="G446" s="13" t="s">
        <v>429</v>
      </c>
      <c r="H446" s="20"/>
      <c r="I446" s="13" t="s">
        <v>21</v>
      </c>
      <c r="J446" s="13" t="s">
        <v>683</v>
      </c>
      <c r="K446" s="13"/>
      <c r="L446" s="17"/>
      <c r="M446" s="13" t="s">
        <v>416</v>
      </c>
      <c r="N446" s="17" t="s">
        <v>34</v>
      </c>
      <c r="O446" s="13"/>
      <c r="P446" s="13"/>
    </row>
    <row r="447" spans="1:16">
      <c r="A447" s="10">
        <v>444</v>
      </c>
      <c r="B447" s="13" t="s">
        <v>783</v>
      </c>
      <c r="C447" s="13" t="str">
        <f>"513021195601020451"</f>
        <v>513021195601020451</v>
      </c>
      <c r="D447" s="13" t="str">
        <f t="shared" si="31"/>
        <v>513021********0451</v>
      </c>
      <c r="E447" s="13" t="str">
        <f t="shared" si="36"/>
        <v>男</v>
      </c>
      <c r="F447" s="17">
        <f ca="1" t="shared" si="35"/>
        <v>68</v>
      </c>
      <c r="G447" s="13" t="s">
        <v>20</v>
      </c>
      <c r="H447" s="18">
        <v>440</v>
      </c>
      <c r="I447" s="13" t="s">
        <v>21</v>
      </c>
      <c r="J447" s="13" t="s">
        <v>683</v>
      </c>
      <c r="K447" s="13"/>
      <c r="L447" s="17" t="str">
        <f>VLOOKUP(C447,[1]Sheet1!$B$2:$U$630,20,0)</f>
        <v>肢体四级;</v>
      </c>
      <c r="M447" s="13" t="s">
        <v>416</v>
      </c>
      <c r="N447" s="17" t="s">
        <v>34</v>
      </c>
      <c r="O447" s="13"/>
      <c r="P447" s="13">
        <v>6</v>
      </c>
    </row>
    <row r="448" ht="15.6" spans="1:16">
      <c r="A448" s="10">
        <v>445</v>
      </c>
      <c r="B448" s="34" t="s">
        <v>784</v>
      </c>
      <c r="C448" s="34" t="s">
        <v>785</v>
      </c>
      <c r="D448" s="13" t="str">
        <f t="shared" si="31"/>
        <v>513021********0441</v>
      </c>
      <c r="E448" s="13" t="str">
        <f t="shared" si="36"/>
        <v>女</v>
      </c>
      <c r="F448" s="17">
        <f ca="1" t="shared" si="35"/>
        <v>67</v>
      </c>
      <c r="G448" s="13" t="s">
        <v>37</v>
      </c>
      <c r="H448" s="20"/>
      <c r="I448" s="13" t="s">
        <v>21</v>
      </c>
      <c r="J448" s="13" t="s">
        <v>683</v>
      </c>
      <c r="K448" s="13"/>
      <c r="L448" s="17"/>
      <c r="M448" s="13" t="s">
        <v>416</v>
      </c>
      <c r="N448" s="17" t="s">
        <v>34</v>
      </c>
      <c r="O448" s="13"/>
      <c r="P448" s="13"/>
    </row>
    <row r="449" ht="15.6" spans="1:16">
      <c r="A449" s="10">
        <v>446</v>
      </c>
      <c r="B449" s="34" t="s">
        <v>786</v>
      </c>
      <c r="C449" s="34" t="s">
        <v>787</v>
      </c>
      <c r="D449" s="13" t="str">
        <f t="shared" si="31"/>
        <v>513021********0450</v>
      </c>
      <c r="E449" s="13" t="str">
        <f t="shared" si="36"/>
        <v>男</v>
      </c>
      <c r="F449" s="17">
        <f ca="1" t="shared" si="35"/>
        <v>42</v>
      </c>
      <c r="G449" s="13" t="s">
        <v>429</v>
      </c>
      <c r="H449" s="20"/>
      <c r="I449" s="13" t="s">
        <v>21</v>
      </c>
      <c r="J449" s="13" t="s">
        <v>683</v>
      </c>
      <c r="K449" s="13"/>
      <c r="L449" s="17"/>
      <c r="M449" s="13" t="s">
        <v>416</v>
      </c>
      <c r="N449" s="17" t="s">
        <v>34</v>
      </c>
      <c r="O449" s="13"/>
      <c r="P449" s="13"/>
    </row>
    <row r="450" ht="15.6" spans="1:16">
      <c r="A450" s="10">
        <v>447</v>
      </c>
      <c r="B450" s="34" t="s">
        <v>788</v>
      </c>
      <c r="C450" s="34" t="s">
        <v>789</v>
      </c>
      <c r="D450" s="13" t="str">
        <f t="shared" si="31"/>
        <v>511721********8987</v>
      </c>
      <c r="E450" s="13" t="str">
        <f t="shared" si="36"/>
        <v>女</v>
      </c>
      <c r="F450" s="17">
        <f ca="1" t="shared" si="35"/>
        <v>14</v>
      </c>
      <c r="G450" s="13" t="s">
        <v>469</v>
      </c>
      <c r="H450" s="20"/>
      <c r="I450" s="13" t="s">
        <v>21</v>
      </c>
      <c r="J450" s="13" t="s">
        <v>683</v>
      </c>
      <c r="K450" s="13"/>
      <c r="L450" s="17"/>
      <c r="M450" s="13" t="s">
        <v>416</v>
      </c>
      <c r="N450" s="17" t="s">
        <v>34</v>
      </c>
      <c r="O450" s="13"/>
      <c r="P450" s="13"/>
    </row>
    <row r="451" ht="15.6" spans="1:16">
      <c r="A451" s="10">
        <v>448</v>
      </c>
      <c r="B451" s="34" t="s">
        <v>790</v>
      </c>
      <c r="C451" s="34" t="s">
        <v>791</v>
      </c>
      <c r="D451" s="13" t="str">
        <f t="shared" si="31"/>
        <v>511721********5743</v>
      </c>
      <c r="E451" s="13" t="str">
        <f t="shared" si="36"/>
        <v>女</v>
      </c>
      <c r="F451" s="17">
        <f ca="1" t="shared" si="35"/>
        <v>10</v>
      </c>
      <c r="G451" s="13" t="s">
        <v>469</v>
      </c>
      <c r="H451" s="20"/>
      <c r="I451" s="13" t="s">
        <v>21</v>
      </c>
      <c r="J451" s="13" t="s">
        <v>683</v>
      </c>
      <c r="K451" s="13"/>
      <c r="L451" s="17"/>
      <c r="M451" s="13" t="s">
        <v>416</v>
      </c>
      <c r="N451" s="17" t="s">
        <v>34</v>
      </c>
      <c r="O451" s="13"/>
      <c r="P451" s="13"/>
    </row>
    <row r="452" ht="15.6" spans="1:16">
      <c r="A452" s="10">
        <v>449</v>
      </c>
      <c r="B452" s="34" t="s">
        <v>792</v>
      </c>
      <c r="C452" s="34" t="s">
        <v>793</v>
      </c>
      <c r="D452" s="13" t="str">
        <f t="shared" si="31"/>
        <v>511322********7125</v>
      </c>
      <c r="E452" s="13" t="str">
        <f t="shared" si="36"/>
        <v>女</v>
      </c>
      <c r="F452" s="17">
        <f ca="1" t="shared" si="35"/>
        <v>37</v>
      </c>
      <c r="G452" s="13" t="s">
        <v>794</v>
      </c>
      <c r="H452" s="20"/>
      <c r="I452" s="13" t="s">
        <v>21</v>
      </c>
      <c r="J452" s="13" t="s">
        <v>683</v>
      </c>
      <c r="K452" s="13"/>
      <c r="L452" s="17"/>
      <c r="M452" s="13" t="s">
        <v>416</v>
      </c>
      <c r="N452" s="17" t="s">
        <v>34</v>
      </c>
      <c r="O452" s="13"/>
      <c r="P452" s="13"/>
    </row>
    <row r="453" spans="1:16">
      <c r="A453" s="10">
        <v>450</v>
      </c>
      <c r="B453" s="13" t="s">
        <v>795</v>
      </c>
      <c r="C453" s="13" t="str">
        <f>"513021195003040444"</f>
        <v>513021195003040444</v>
      </c>
      <c r="D453" s="13" t="str">
        <f t="shared" ref="D453:D516" si="37">REPLACE(C453,7,8,"********")</f>
        <v>513021********0444</v>
      </c>
      <c r="E453" s="13" t="str">
        <f t="shared" si="36"/>
        <v>女</v>
      </c>
      <c r="F453" s="17">
        <f ca="1" t="shared" si="35"/>
        <v>74</v>
      </c>
      <c r="G453" s="13" t="s">
        <v>20</v>
      </c>
      <c r="H453" s="18">
        <v>240</v>
      </c>
      <c r="I453" s="13" t="s">
        <v>21</v>
      </c>
      <c r="J453" s="13" t="s">
        <v>683</v>
      </c>
      <c r="K453" s="13"/>
      <c r="L453" s="17"/>
      <c r="M453" s="13" t="s">
        <v>416</v>
      </c>
      <c r="N453" s="17"/>
      <c r="O453" s="13" t="s">
        <v>417</v>
      </c>
      <c r="P453" s="13">
        <v>1</v>
      </c>
    </row>
    <row r="454" spans="1:16">
      <c r="A454" s="10">
        <v>451</v>
      </c>
      <c r="B454" s="13" t="s">
        <v>796</v>
      </c>
      <c r="C454" s="13" t="str">
        <f>"513021195308060454"</f>
        <v>513021195308060454</v>
      </c>
      <c r="D454" s="13" t="str">
        <f t="shared" si="37"/>
        <v>513021********0454</v>
      </c>
      <c r="E454" s="13" t="str">
        <f t="shared" si="36"/>
        <v>男</v>
      </c>
      <c r="F454" s="17">
        <f ca="1" t="shared" si="35"/>
        <v>71</v>
      </c>
      <c r="G454" s="13" t="s">
        <v>20</v>
      </c>
      <c r="H454" s="18">
        <v>240</v>
      </c>
      <c r="I454" s="13" t="s">
        <v>21</v>
      </c>
      <c r="J454" s="13" t="s">
        <v>683</v>
      </c>
      <c r="K454" s="13"/>
      <c r="L454" s="17" t="str">
        <f>VLOOKUP(C454,[1]Sheet1!$B$2:$U$630,20,0)</f>
        <v>视力一级;</v>
      </c>
      <c r="M454" s="13" t="s">
        <v>416</v>
      </c>
      <c r="N454" s="17"/>
      <c r="O454" s="13" t="s">
        <v>417</v>
      </c>
      <c r="P454" s="13">
        <v>1</v>
      </c>
    </row>
    <row r="455" spans="1:16">
      <c r="A455" s="10">
        <v>452</v>
      </c>
      <c r="B455" s="13" t="s">
        <v>797</v>
      </c>
      <c r="C455" s="13" t="str">
        <f>"513021195802110525"</f>
        <v>513021195802110525</v>
      </c>
      <c r="D455" s="13" t="str">
        <f t="shared" si="37"/>
        <v>513021********0525</v>
      </c>
      <c r="E455" s="13" t="str">
        <f t="shared" si="36"/>
        <v>女</v>
      </c>
      <c r="F455" s="17">
        <f ca="1" t="shared" si="35"/>
        <v>66</v>
      </c>
      <c r="G455" s="13" t="s">
        <v>20</v>
      </c>
      <c r="H455" s="18">
        <v>240</v>
      </c>
      <c r="I455" s="13" t="s">
        <v>21</v>
      </c>
      <c r="J455" s="13" t="s">
        <v>683</v>
      </c>
      <c r="K455" s="13"/>
      <c r="L455" s="17"/>
      <c r="M455" s="13" t="s">
        <v>416</v>
      </c>
      <c r="N455" s="17"/>
      <c r="O455" s="13" t="s">
        <v>417</v>
      </c>
      <c r="P455" s="13">
        <v>1</v>
      </c>
    </row>
    <row r="456" spans="1:16">
      <c r="A456" s="10">
        <v>453</v>
      </c>
      <c r="B456" s="13" t="s">
        <v>798</v>
      </c>
      <c r="C456" s="13" t="str">
        <f>"513021197102060458"</f>
        <v>513021197102060458</v>
      </c>
      <c r="D456" s="13" t="str">
        <f t="shared" si="37"/>
        <v>513021********0458</v>
      </c>
      <c r="E456" s="13" t="str">
        <f t="shared" si="36"/>
        <v>男</v>
      </c>
      <c r="F456" s="17">
        <f ca="1" t="shared" si="35"/>
        <v>53</v>
      </c>
      <c r="G456" s="13" t="s">
        <v>20</v>
      </c>
      <c r="H456" s="18">
        <v>230</v>
      </c>
      <c r="I456" s="13" t="s">
        <v>21</v>
      </c>
      <c r="J456" s="13" t="s">
        <v>683</v>
      </c>
      <c r="K456" s="13"/>
      <c r="L456" s="17" t="str">
        <f>VLOOKUP(C456,[1]Sheet1!$B$2:$U$630,20,0)</f>
        <v>精神二级;</v>
      </c>
      <c r="M456" s="13" t="s">
        <v>416</v>
      </c>
      <c r="N456" s="17" t="s">
        <v>34</v>
      </c>
      <c r="O456" s="13"/>
      <c r="P456" s="13">
        <v>1</v>
      </c>
    </row>
    <row r="457" spans="1:16">
      <c r="A457" s="10">
        <v>454</v>
      </c>
      <c r="B457" s="13" t="s">
        <v>799</v>
      </c>
      <c r="C457" s="13" t="str">
        <f>"513021194806030464"</f>
        <v>513021194806030464</v>
      </c>
      <c r="D457" s="13" t="str">
        <f t="shared" si="37"/>
        <v>513021********0464</v>
      </c>
      <c r="E457" s="13" t="str">
        <f t="shared" si="36"/>
        <v>女</v>
      </c>
      <c r="F457" s="17">
        <f ca="1" t="shared" si="35"/>
        <v>76</v>
      </c>
      <c r="G457" s="13" t="s">
        <v>20</v>
      </c>
      <c r="H457" s="18">
        <v>240</v>
      </c>
      <c r="I457" s="13" t="s">
        <v>21</v>
      </c>
      <c r="J457" s="13" t="s">
        <v>683</v>
      </c>
      <c r="K457" s="13"/>
      <c r="L457" s="17"/>
      <c r="M457" s="13" t="s">
        <v>416</v>
      </c>
      <c r="N457" s="17"/>
      <c r="O457" s="13" t="s">
        <v>417</v>
      </c>
      <c r="P457" s="13">
        <v>1</v>
      </c>
    </row>
    <row r="458" spans="1:16">
      <c r="A458" s="10">
        <v>455</v>
      </c>
      <c r="B458" s="13" t="s">
        <v>800</v>
      </c>
      <c r="C458" s="13" t="str">
        <f>"513021194504210443"</f>
        <v>513021194504210443</v>
      </c>
      <c r="D458" s="13" t="str">
        <f t="shared" si="37"/>
        <v>513021********0443</v>
      </c>
      <c r="E458" s="13" t="str">
        <f t="shared" si="36"/>
        <v>女</v>
      </c>
      <c r="F458" s="17">
        <f ca="1" t="shared" si="35"/>
        <v>79</v>
      </c>
      <c r="G458" s="13" t="s">
        <v>20</v>
      </c>
      <c r="H458" s="18">
        <v>240</v>
      </c>
      <c r="I458" s="13" t="s">
        <v>21</v>
      </c>
      <c r="J458" s="13" t="s">
        <v>683</v>
      </c>
      <c r="K458" s="13"/>
      <c r="L458" s="17"/>
      <c r="M458" s="13" t="s">
        <v>416</v>
      </c>
      <c r="N458" s="17"/>
      <c r="O458" s="13" t="s">
        <v>417</v>
      </c>
      <c r="P458" s="13">
        <v>1</v>
      </c>
    </row>
    <row r="459" spans="1:16">
      <c r="A459" s="10">
        <v>456</v>
      </c>
      <c r="B459" s="13" t="s">
        <v>801</v>
      </c>
      <c r="C459" s="13" t="str">
        <f>"513021194608090458"</f>
        <v>513021194608090458</v>
      </c>
      <c r="D459" s="13" t="str">
        <f t="shared" si="37"/>
        <v>513021********0458</v>
      </c>
      <c r="E459" s="13" t="str">
        <f t="shared" si="36"/>
        <v>男</v>
      </c>
      <c r="F459" s="17">
        <f ca="1" t="shared" si="35"/>
        <v>78</v>
      </c>
      <c r="G459" s="13" t="s">
        <v>20</v>
      </c>
      <c r="H459" s="18">
        <v>240</v>
      </c>
      <c r="I459" s="13" t="s">
        <v>21</v>
      </c>
      <c r="J459" s="13" t="s">
        <v>683</v>
      </c>
      <c r="K459" s="13"/>
      <c r="L459" s="17" t="str">
        <f>VLOOKUP(C459,[1]Sheet1!$B$2:$U$630,20,0)</f>
        <v>肢体四级;</v>
      </c>
      <c r="M459" s="13" t="s">
        <v>416</v>
      </c>
      <c r="N459" s="17"/>
      <c r="O459" s="13" t="s">
        <v>417</v>
      </c>
      <c r="P459" s="13">
        <v>1</v>
      </c>
    </row>
    <row r="460" spans="1:16">
      <c r="A460" s="10">
        <v>457</v>
      </c>
      <c r="B460" s="13" t="s">
        <v>802</v>
      </c>
      <c r="C460" s="13" t="str">
        <f>"513021194607170456"</f>
        <v>513021194607170456</v>
      </c>
      <c r="D460" s="13" t="str">
        <f t="shared" si="37"/>
        <v>513021********0456</v>
      </c>
      <c r="E460" s="13" t="str">
        <f t="shared" si="36"/>
        <v>男</v>
      </c>
      <c r="F460" s="17">
        <f ca="1" t="shared" si="35"/>
        <v>78</v>
      </c>
      <c r="G460" s="13" t="s">
        <v>20</v>
      </c>
      <c r="H460" s="18">
        <v>240</v>
      </c>
      <c r="I460" s="13" t="s">
        <v>21</v>
      </c>
      <c r="J460" s="13" t="s">
        <v>683</v>
      </c>
      <c r="K460" s="13"/>
      <c r="L460" s="17"/>
      <c r="M460" s="13" t="s">
        <v>416</v>
      </c>
      <c r="N460" s="17"/>
      <c r="O460" s="13" t="s">
        <v>417</v>
      </c>
      <c r="P460" s="13">
        <v>1</v>
      </c>
    </row>
    <row r="461" spans="1:16">
      <c r="A461" s="10">
        <v>458</v>
      </c>
      <c r="B461" s="13" t="s">
        <v>803</v>
      </c>
      <c r="C461" s="13" t="str">
        <f>"513021195710200443"</f>
        <v>513021195710200443</v>
      </c>
      <c r="D461" s="13" t="str">
        <f t="shared" si="37"/>
        <v>513021********0443</v>
      </c>
      <c r="E461" s="13" t="str">
        <f t="shared" si="36"/>
        <v>女</v>
      </c>
      <c r="F461" s="17">
        <f ca="1" t="shared" si="35"/>
        <v>67</v>
      </c>
      <c r="G461" s="13" t="s">
        <v>20</v>
      </c>
      <c r="H461" s="18">
        <v>240</v>
      </c>
      <c r="I461" s="13" t="s">
        <v>21</v>
      </c>
      <c r="J461" s="13" t="s">
        <v>683</v>
      </c>
      <c r="K461" s="13"/>
      <c r="L461" s="17"/>
      <c r="M461" s="13" t="s">
        <v>416</v>
      </c>
      <c r="N461" s="17" t="s">
        <v>34</v>
      </c>
      <c r="O461" s="13" t="s">
        <v>417</v>
      </c>
      <c r="P461" s="13">
        <v>1</v>
      </c>
    </row>
    <row r="462" spans="1:16">
      <c r="A462" s="10">
        <v>459</v>
      </c>
      <c r="B462" s="13" t="s">
        <v>804</v>
      </c>
      <c r="C462" s="13" t="str">
        <f>"513021193708240463"</f>
        <v>513021193708240463</v>
      </c>
      <c r="D462" s="13" t="str">
        <f t="shared" si="37"/>
        <v>513021********0463</v>
      </c>
      <c r="E462" s="13" t="str">
        <f t="shared" si="36"/>
        <v>女</v>
      </c>
      <c r="F462" s="17">
        <f ca="1" t="shared" si="35"/>
        <v>87</v>
      </c>
      <c r="G462" s="13" t="s">
        <v>20</v>
      </c>
      <c r="H462" s="18">
        <v>240</v>
      </c>
      <c r="I462" s="13" t="s">
        <v>21</v>
      </c>
      <c r="J462" s="13" t="s">
        <v>683</v>
      </c>
      <c r="K462" s="13"/>
      <c r="L462" s="17"/>
      <c r="M462" s="13" t="s">
        <v>416</v>
      </c>
      <c r="N462" s="17"/>
      <c r="O462" s="13" t="s">
        <v>417</v>
      </c>
      <c r="P462" s="13">
        <v>1</v>
      </c>
    </row>
    <row r="463" spans="1:16">
      <c r="A463" s="10">
        <v>460</v>
      </c>
      <c r="B463" s="13" t="s">
        <v>805</v>
      </c>
      <c r="C463" s="13" t="str">
        <f>"513021194711040467"</f>
        <v>513021194711040467</v>
      </c>
      <c r="D463" s="13" t="str">
        <f t="shared" si="37"/>
        <v>513021********0467</v>
      </c>
      <c r="E463" s="13" t="str">
        <f t="shared" si="36"/>
        <v>女</v>
      </c>
      <c r="F463" s="17">
        <f ca="1" t="shared" si="35"/>
        <v>77</v>
      </c>
      <c r="G463" s="13" t="s">
        <v>20</v>
      </c>
      <c r="H463" s="18">
        <v>240</v>
      </c>
      <c r="I463" s="13" t="s">
        <v>21</v>
      </c>
      <c r="J463" s="13" t="s">
        <v>683</v>
      </c>
      <c r="K463" s="13"/>
      <c r="L463" s="17"/>
      <c r="M463" s="13" t="s">
        <v>416</v>
      </c>
      <c r="N463" s="17"/>
      <c r="O463" s="13" t="s">
        <v>417</v>
      </c>
      <c r="P463" s="13">
        <v>1</v>
      </c>
    </row>
    <row r="464" spans="1:16">
      <c r="A464" s="10">
        <v>461</v>
      </c>
      <c r="B464" s="13" t="s">
        <v>806</v>
      </c>
      <c r="C464" s="13" t="str">
        <f>"513021195112260446"</f>
        <v>513021195112260446</v>
      </c>
      <c r="D464" s="13" t="str">
        <f t="shared" si="37"/>
        <v>513021********0446</v>
      </c>
      <c r="E464" s="13" t="str">
        <f t="shared" si="36"/>
        <v>女</v>
      </c>
      <c r="F464" s="17">
        <f ca="1" t="shared" si="35"/>
        <v>73</v>
      </c>
      <c r="G464" s="13" t="s">
        <v>20</v>
      </c>
      <c r="H464" s="18">
        <v>240</v>
      </c>
      <c r="I464" s="13" t="s">
        <v>21</v>
      </c>
      <c r="J464" s="13" t="s">
        <v>683</v>
      </c>
      <c r="K464" s="13"/>
      <c r="L464" s="17"/>
      <c r="M464" s="13" t="s">
        <v>416</v>
      </c>
      <c r="N464" s="17"/>
      <c r="O464" s="13" t="s">
        <v>417</v>
      </c>
      <c r="P464" s="13">
        <v>1</v>
      </c>
    </row>
    <row r="465" spans="1:16">
      <c r="A465" s="10">
        <v>462</v>
      </c>
      <c r="B465" s="13" t="s">
        <v>807</v>
      </c>
      <c r="C465" s="13" t="str">
        <f>"513021194403190447"</f>
        <v>513021194403190447</v>
      </c>
      <c r="D465" s="13" t="str">
        <f t="shared" si="37"/>
        <v>513021********0447</v>
      </c>
      <c r="E465" s="13" t="str">
        <f t="shared" si="36"/>
        <v>女</v>
      </c>
      <c r="F465" s="17">
        <f ca="1" t="shared" si="35"/>
        <v>80</v>
      </c>
      <c r="G465" s="13" t="s">
        <v>20</v>
      </c>
      <c r="H465" s="18">
        <v>240</v>
      </c>
      <c r="I465" s="13" t="s">
        <v>21</v>
      </c>
      <c r="J465" s="13" t="s">
        <v>683</v>
      </c>
      <c r="K465" s="13"/>
      <c r="L465" s="17"/>
      <c r="M465" s="13" t="s">
        <v>416</v>
      </c>
      <c r="N465" s="17"/>
      <c r="O465" s="13" t="s">
        <v>417</v>
      </c>
      <c r="P465" s="13">
        <v>1</v>
      </c>
    </row>
    <row r="466" spans="1:16">
      <c r="A466" s="10">
        <v>463</v>
      </c>
      <c r="B466" s="13" t="s">
        <v>808</v>
      </c>
      <c r="C466" s="13" t="str">
        <f>"511721200506215728"</f>
        <v>511721200506215728</v>
      </c>
      <c r="D466" s="13" t="str">
        <f t="shared" si="37"/>
        <v>511721********5728</v>
      </c>
      <c r="E466" s="13" t="str">
        <f t="shared" si="36"/>
        <v>女</v>
      </c>
      <c r="F466" s="17">
        <f ca="1" t="shared" si="35"/>
        <v>19</v>
      </c>
      <c r="G466" s="13" t="s">
        <v>20</v>
      </c>
      <c r="H466" s="18">
        <v>240</v>
      </c>
      <c r="I466" s="13" t="s">
        <v>21</v>
      </c>
      <c r="J466" s="13" t="s">
        <v>683</v>
      </c>
      <c r="K466" s="13"/>
      <c r="L466" s="17" t="str">
        <f>VLOOKUP(C466,[1]Sheet1!$B$2:$U$630,20,0)</f>
        <v>肢体三级;</v>
      </c>
      <c r="M466" s="13" t="s">
        <v>416</v>
      </c>
      <c r="N466" s="17"/>
      <c r="O466" s="13" t="s">
        <v>417</v>
      </c>
      <c r="P466" s="13">
        <v>1</v>
      </c>
    </row>
    <row r="467" spans="1:16">
      <c r="A467" s="10">
        <v>464</v>
      </c>
      <c r="B467" s="13" t="s">
        <v>809</v>
      </c>
      <c r="C467" s="13" t="str">
        <f>"513021195503140441"</f>
        <v>513021195503140441</v>
      </c>
      <c r="D467" s="13" t="str">
        <f t="shared" si="37"/>
        <v>513021********0441</v>
      </c>
      <c r="E467" s="13" t="str">
        <f t="shared" si="36"/>
        <v>女</v>
      </c>
      <c r="F467" s="17">
        <f ca="1" t="shared" si="35"/>
        <v>69</v>
      </c>
      <c r="G467" s="13" t="s">
        <v>20</v>
      </c>
      <c r="H467" s="18">
        <v>240</v>
      </c>
      <c r="I467" s="13" t="s">
        <v>21</v>
      </c>
      <c r="J467" s="13" t="s">
        <v>683</v>
      </c>
      <c r="K467" s="13"/>
      <c r="L467" s="17" t="str">
        <f>VLOOKUP(C467,[1]Sheet1!$B$2:$U$630,20,0)</f>
        <v>听力三级;</v>
      </c>
      <c r="M467" s="13" t="s">
        <v>416</v>
      </c>
      <c r="N467" s="17"/>
      <c r="O467" s="13" t="s">
        <v>417</v>
      </c>
      <c r="P467" s="13">
        <v>1</v>
      </c>
    </row>
    <row r="468" spans="1:16">
      <c r="A468" s="10">
        <v>465</v>
      </c>
      <c r="B468" s="13" t="s">
        <v>810</v>
      </c>
      <c r="C468" s="13" t="str">
        <f>"513021194010110442"</f>
        <v>513021194010110442</v>
      </c>
      <c r="D468" s="13" t="str">
        <f t="shared" si="37"/>
        <v>513021********0442</v>
      </c>
      <c r="E468" s="13" t="str">
        <f t="shared" si="36"/>
        <v>女</v>
      </c>
      <c r="F468" s="17">
        <f ca="1" t="shared" si="35"/>
        <v>84</v>
      </c>
      <c r="G468" s="13" t="s">
        <v>20</v>
      </c>
      <c r="H468" s="18">
        <v>240</v>
      </c>
      <c r="I468" s="13" t="s">
        <v>21</v>
      </c>
      <c r="J468" s="13" t="s">
        <v>683</v>
      </c>
      <c r="K468" s="13"/>
      <c r="L468" s="17" t="str">
        <f>VLOOKUP(C468,[1]Sheet1!$B$2:$U$630,20,0)</f>
        <v>肢体四级;</v>
      </c>
      <c r="M468" s="13" t="s">
        <v>416</v>
      </c>
      <c r="N468" s="17" t="s">
        <v>34</v>
      </c>
      <c r="O468" s="13" t="s">
        <v>417</v>
      </c>
      <c r="P468" s="13">
        <v>1</v>
      </c>
    </row>
    <row r="469" spans="1:16">
      <c r="A469" s="10">
        <v>466</v>
      </c>
      <c r="B469" s="13" t="s">
        <v>811</v>
      </c>
      <c r="C469" s="13" t="str">
        <f>"513021195104160453"</f>
        <v>513021195104160453</v>
      </c>
      <c r="D469" s="13" t="str">
        <f t="shared" si="37"/>
        <v>513021********0453</v>
      </c>
      <c r="E469" s="13" t="str">
        <f t="shared" si="36"/>
        <v>男</v>
      </c>
      <c r="F469" s="17">
        <f ca="1" t="shared" si="35"/>
        <v>73</v>
      </c>
      <c r="G469" s="13" t="s">
        <v>20</v>
      </c>
      <c r="H469" s="18">
        <v>440</v>
      </c>
      <c r="I469" s="13" t="s">
        <v>21</v>
      </c>
      <c r="J469" s="13" t="s">
        <v>683</v>
      </c>
      <c r="K469" s="13"/>
      <c r="L469" s="17" t="str">
        <f>VLOOKUP(C469,[1]Sheet1!$B$2:$U$630,20,0)</f>
        <v>视力三级;</v>
      </c>
      <c r="M469" s="13" t="s">
        <v>416</v>
      </c>
      <c r="N469" s="17"/>
      <c r="O469" s="13"/>
      <c r="P469" s="13">
        <v>2</v>
      </c>
    </row>
    <row r="470" ht="15.6" spans="1:16">
      <c r="A470" s="10">
        <v>467</v>
      </c>
      <c r="B470" s="34" t="s">
        <v>812</v>
      </c>
      <c r="C470" s="34" t="s">
        <v>813</v>
      </c>
      <c r="D470" s="13" t="str">
        <f t="shared" si="37"/>
        <v>513021********0441</v>
      </c>
      <c r="E470" s="13" t="str">
        <f t="shared" si="36"/>
        <v>女</v>
      </c>
      <c r="F470" s="17">
        <f ca="1" t="shared" si="35"/>
        <v>69</v>
      </c>
      <c r="G470" s="13" t="s">
        <v>37</v>
      </c>
      <c r="H470" s="20"/>
      <c r="I470" s="13" t="s">
        <v>21</v>
      </c>
      <c r="J470" s="13" t="s">
        <v>683</v>
      </c>
      <c r="K470" s="13"/>
      <c r="L470" s="17"/>
      <c r="M470" s="13" t="s">
        <v>416</v>
      </c>
      <c r="N470" s="17"/>
      <c r="O470" s="13"/>
      <c r="P470" s="13"/>
    </row>
    <row r="471" spans="1:16">
      <c r="A471" s="10">
        <v>468</v>
      </c>
      <c r="B471" s="13" t="s">
        <v>814</v>
      </c>
      <c r="C471" s="13" t="str">
        <f>"511721200708285716"</f>
        <v>511721200708285716</v>
      </c>
      <c r="D471" s="13" t="str">
        <f t="shared" si="37"/>
        <v>511721********5716</v>
      </c>
      <c r="E471" s="13" t="str">
        <f t="shared" si="36"/>
        <v>男</v>
      </c>
      <c r="F471" s="17">
        <f ca="1" t="shared" si="35"/>
        <v>17</v>
      </c>
      <c r="G471" s="13" t="s">
        <v>20</v>
      </c>
      <c r="H471" s="18">
        <v>240</v>
      </c>
      <c r="I471" s="13" t="s">
        <v>21</v>
      </c>
      <c r="J471" s="13" t="s">
        <v>683</v>
      </c>
      <c r="K471" s="13"/>
      <c r="L471" s="17" t="str">
        <f>VLOOKUP(C471,[1]Sheet1!$B$2:$U$630,20,0)</f>
        <v>智力二级;</v>
      </c>
      <c r="M471" s="13" t="s">
        <v>416</v>
      </c>
      <c r="N471" s="17"/>
      <c r="O471" s="13" t="s">
        <v>417</v>
      </c>
      <c r="P471" s="13">
        <v>1</v>
      </c>
    </row>
    <row r="472" spans="1:16">
      <c r="A472" s="10">
        <v>469</v>
      </c>
      <c r="B472" s="13" t="s">
        <v>815</v>
      </c>
      <c r="C472" s="13" t="s">
        <v>816</v>
      </c>
      <c r="D472" s="13" t="str">
        <f t="shared" si="37"/>
        <v>513021********047X</v>
      </c>
      <c r="E472" s="13" t="str">
        <f t="shared" si="36"/>
        <v>男</v>
      </c>
      <c r="F472" s="17">
        <f ca="1" t="shared" si="35"/>
        <v>59</v>
      </c>
      <c r="G472" s="13" t="s">
        <v>20</v>
      </c>
      <c r="H472" s="18">
        <v>220</v>
      </c>
      <c r="I472" s="13" t="s">
        <v>21</v>
      </c>
      <c r="J472" s="13" t="s">
        <v>683</v>
      </c>
      <c r="K472" s="13"/>
      <c r="L472" s="17"/>
      <c r="M472" s="13" t="s">
        <v>416</v>
      </c>
      <c r="N472" s="17" t="s">
        <v>34</v>
      </c>
      <c r="O472" s="13"/>
      <c r="P472" s="13">
        <v>5</v>
      </c>
    </row>
    <row r="473" ht="15.6" spans="1:16">
      <c r="A473" s="10">
        <v>470</v>
      </c>
      <c r="B473" s="34" t="s">
        <v>817</v>
      </c>
      <c r="C473" s="34" t="s">
        <v>818</v>
      </c>
      <c r="D473" s="13" t="str">
        <f t="shared" si="37"/>
        <v>513021********1166</v>
      </c>
      <c r="E473" s="13" t="str">
        <f t="shared" si="36"/>
        <v>女</v>
      </c>
      <c r="F473" s="17">
        <f ca="1" t="shared" si="35"/>
        <v>59</v>
      </c>
      <c r="G473" s="13" t="s">
        <v>37</v>
      </c>
      <c r="H473" s="20"/>
      <c r="I473" s="13" t="s">
        <v>21</v>
      </c>
      <c r="J473" s="13" t="s">
        <v>683</v>
      </c>
      <c r="K473" s="13"/>
      <c r="L473" s="17"/>
      <c r="M473" s="13" t="s">
        <v>416</v>
      </c>
      <c r="N473" s="17" t="s">
        <v>34</v>
      </c>
      <c r="O473" s="13"/>
      <c r="P473" s="13"/>
    </row>
    <row r="474" ht="15.6" spans="1:16">
      <c r="A474" s="10">
        <v>471</v>
      </c>
      <c r="B474" s="34" t="s">
        <v>819</v>
      </c>
      <c r="C474" s="34" t="s">
        <v>820</v>
      </c>
      <c r="D474" s="13" t="str">
        <f t="shared" si="37"/>
        <v>513021********0456</v>
      </c>
      <c r="E474" s="13" t="str">
        <f t="shared" si="36"/>
        <v>男</v>
      </c>
      <c r="F474" s="17">
        <f ca="1" t="shared" si="35"/>
        <v>35</v>
      </c>
      <c r="G474" s="13" t="s">
        <v>429</v>
      </c>
      <c r="H474" s="20"/>
      <c r="I474" s="13" t="s">
        <v>21</v>
      </c>
      <c r="J474" s="13" t="s">
        <v>683</v>
      </c>
      <c r="K474" s="13"/>
      <c r="L474" s="17"/>
      <c r="M474" s="13" t="s">
        <v>416</v>
      </c>
      <c r="N474" s="17" t="s">
        <v>34</v>
      </c>
      <c r="O474" s="13"/>
      <c r="P474" s="13"/>
    </row>
    <row r="475" ht="15.6" spans="1:16">
      <c r="A475" s="10">
        <v>472</v>
      </c>
      <c r="B475" s="34" t="s">
        <v>821</v>
      </c>
      <c r="C475" s="34" t="s">
        <v>822</v>
      </c>
      <c r="D475" s="13" t="str">
        <f t="shared" si="37"/>
        <v>513021********0448</v>
      </c>
      <c r="E475" s="13" t="str">
        <f t="shared" si="36"/>
        <v>女</v>
      </c>
      <c r="F475" s="17">
        <f ca="1" t="shared" si="35"/>
        <v>35</v>
      </c>
      <c r="G475" s="13" t="s">
        <v>513</v>
      </c>
      <c r="H475" s="20"/>
      <c r="I475" s="13" t="s">
        <v>21</v>
      </c>
      <c r="J475" s="13" t="s">
        <v>683</v>
      </c>
      <c r="K475" s="13"/>
      <c r="L475" s="17"/>
      <c r="M475" s="13" t="s">
        <v>416</v>
      </c>
      <c r="N475" s="17" t="s">
        <v>34</v>
      </c>
      <c r="O475" s="13"/>
      <c r="P475" s="13"/>
    </row>
    <row r="476" ht="15.6" spans="1:16">
      <c r="A476" s="10">
        <v>473</v>
      </c>
      <c r="B476" s="34" t="s">
        <v>823</v>
      </c>
      <c r="C476" s="34" t="s">
        <v>824</v>
      </c>
      <c r="D476" s="13" t="str">
        <f t="shared" si="37"/>
        <v>511721********571X</v>
      </c>
      <c r="E476" s="13" t="str">
        <f t="shared" si="36"/>
        <v>男</v>
      </c>
      <c r="F476" s="17">
        <f ca="1" t="shared" si="35"/>
        <v>10</v>
      </c>
      <c r="G476" s="34" t="s">
        <v>469</v>
      </c>
      <c r="H476" s="20"/>
      <c r="I476" s="13" t="s">
        <v>21</v>
      </c>
      <c r="J476" s="13" t="s">
        <v>683</v>
      </c>
      <c r="K476" s="13"/>
      <c r="L476" s="17"/>
      <c r="M476" s="13" t="s">
        <v>416</v>
      </c>
      <c r="N476" s="17" t="s">
        <v>34</v>
      </c>
      <c r="O476" s="13"/>
      <c r="P476" s="13"/>
    </row>
    <row r="477" spans="1:16">
      <c r="A477" s="10">
        <v>474</v>
      </c>
      <c r="B477" s="13" t="s">
        <v>825</v>
      </c>
      <c r="C477" s="13" t="str">
        <f>"511721201103228983"</f>
        <v>511721201103228983</v>
      </c>
      <c r="D477" s="13" t="str">
        <f t="shared" si="37"/>
        <v>511721********8983</v>
      </c>
      <c r="E477" s="13" t="str">
        <f t="shared" si="36"/>
        <v>女</v>
      </c>
      <c r="F477" s="17">
        <f ca="1" t="shared" si="35"/>
        <v>13</v>
      </c>
      <c r="G477" s="13" t="s">
        <v>20</v>
      </c>
      <c r="H477" s="18">
        <v>240</v>
      </c>
      <c r="I477" s="13" t="s">
        <v>21</v>
      </c>
      <c r="J477" s="13" t="s">
        <v>683</v>
      </c>
      <c r="K477" s="13"/>
      <c r="L477" s="17" t="str">
        <f>VLOOKUP(C477,[1]Sheet1!$B$2:$U$630,20,0)</f>
        <v>智力二级;</v>
      </c>
      <c r="M477" s="13" t="s">
        <v>416</v>
      </c>
      <c r="N477" s="17"/>
      <c r="O477" s="13" t="s">
        <v>417</v>
      </c>
      <c r="P477" s="13">
        <v>1</v>
      </c>
    </row>
    <row r="478" spans="1:16">
      <c r="A478" s="10">
        <v>475</v>
      </c>
      <c r="B478" s="13" t="s">
        <v>826</v>
      </c>
      <c r="C478" s="13" t="s">
        <v>827</v>
      </c>
      <c r="D478" s="13" t="str">
        <f t="shared" si="37"/>
        <v>513021********044X</v>
      </c>
      <c r="E478" s="13" t="str">
        <f t="shared" si="36"/>
        <v>女</v>
      </c>
      <c r="F478" s="17">
        <f ca="1" t="shared" si="35"/>
        <v>49</v>
      </c>
      <c r="G478" s="13" t="s">
        <v>20</v>
      </c>
      <c r="H478" s="18">
        <v>240</v>
      </c>
      <c r="I478" s="13" t="s">
        <v>21</v>
      </c>
      <c r="J478" s="13" t="s">
        <v>683</v>
      </c>
      <c r="K478" s="13"/>
      <c r="L478" s="17"/>
      <c r="M478" s="13" t="s">
        <v>416</v>
      </c>
      <c r="N478" s="17"/>
      <c r="O478" s="13" t="s">
        <v>417</v>
      </c>
      <c r="P478" s="13">
        <v>1</v>
      </c>
    </row>
    <row r="479" spans="1:16">
      <c r="A479" s="10">
        <v>476</v>
      </c>
      <c r="B479" s="13" t="s">
        <v>828</v>
      </c>
      <c r="C479" s="13" t="str">
        <f>"513021197310210465"</f>
        <v>513021197310210465</v>
      </c>
      <c r="D479" s="13" t="str">
        <f t="shared" si="37"/>
        <v>513021********0465</v>
      </c>
      <c r="E479" s="13" t="str">
        <f t="shared" ref="E479:E542" si="38">IF(MOD(MID(C479,17,1),2)=1,"男","女")</f>
        <v>女</v>
      </c>
      <c r="F479" s="17">
        <f ca="1" t="shared" ref="F479:F520" si="39">YEAR(TODAY())-MID(C479,7,4)</f>
        <v>51</v>
      </c>
      <c r="G479" s="13" t="s">
        <v>20</v>
      </c>
      <c r="H479" s="18">
        <v>220</v>
      </c>
      <c r="I479" s="13" t="s">
        <v>21</v>
      </c>
      <c r="J479" s="13" t="s">
        <v>683</v>
      </c>
      <c r="K479" s="13"/>
      <c r="L479" s="17"/>
      <c r="M479" s="13" t="s">
        <v>416</v>
      </c>
      <c r="N479" s="17" t="s">
        <v>34</v>
      </c>
      <c r="O479" s="13"/>
      <c r="P479" s="13">
        <v>2</v>
      </c>
    </row>
    <row r="480" ht="15.6" spans="1:16">
      <c r="A480" s="10">
        <v>477</v>
      </c>
      <c r="B480" s="34" t="s">
        <v>829</v>
      </c>
      <c r="C480" s="34" t="s">
        <v>830</v>
      </c>
      <c r="D480" s="13" t="str">
        <f t="shared" si="37"/>
        <v>511721********5722</v>
      </c>
      <c r="E480" s="13" t="str">
        <f t="shared" si="38"/>
        <v>女</v>
      </c>
      <c r="F480" s="17">
        <f ca="1" t="shared" si="39"/>
        <v>16</v>
      </c>
      <c r="G480" s="13" t="s">
        <v>475</v>
      </c>
      <c r="H480" s="20"/>
      <c r="I480" s="13" t="s">
        <v>21</v>
      </c>
      <c r="J480" s="13" t="s">
        <v>683</v>
      </c>
      <c r="K480" s="13"/>
      <c r="L480" s="17"/>
      <c r="M480" s="13" t="s">
        <v>416</v>
      </c>
      <c r="N480" s="17" t="s">
        <v>34</v>
      </c>
      <c r="O480" s="13"/>
      <c r="P480" s="13"/>
    </row>
    <row r="481" spans="1:16">
      <c r="A481" s="10">
        <v>478</v>
      </c>
      <c r="B481" s="13" t="s">
        <v>831</v>
      </c>
      <c r="C481" s="13" t="str">
        <f>"513021197007250448"</f>
        <v>513021197007250448</v>
      </c>
      <c r="D481" s="13" t="str">
        <f t="shared" si="37"/>
        <v>513021********0448</v>
      </c>
      <c r="E481" s="13" t="str">
        <f t="shared" si="38"/>
        <v>女</v>
      </c>
      <c r="F481" s="17">
        <f ca="1" t="shared" si="39"/>
        <v>54</v>
      </c>
      <c r="G481" s="13" t="s">
        <v>20</v>
      </c>
      <c r="H481" s="18">
        <v>220</v>
      </c>
      <c r="I481" s="13" t="s">
        <v>21</v>
      </c>
      <c r="J481" s="13" t="s">
        <v>683</v>
      </c>
      <c r="K481" s="13"/>
      <c r="L481" s="17"/>
      <c r="M481" s="13" t="s">
        <v>416</v>
      </c>
      <c r="N481" s="17" t="s">
        <v>34</v>
      </c>
      <c r="O481" s="13"/>
      <c r="P481" s="13">
        <v>5</v>
      </c>
    </row>
    <row r="482" ht="15.6" spans="1:16">
      <c r="A482" s="10">
        <v>479</v>
      </c>
      <c r="B482" s="34" t="s">
        <v>832</v>
      </c>
      <c r="C482" s="34" t="s">
        <v>833</v>
      </c>
      <c r="D482" s="13" t="str">
        <f t="shared" si="37"/>
        <v>513021********0450</v>
      </c>
      <c r="E482" s="13" t="str">
        <f t="shared" si="38"/>
        <v>男</v>
      </c>
      <c r="F482" s="17">
        <f ca="1" t="shared" si="39"/>
        <v>55</v>
      </c>
      <c r="G482" s="13" t="s">
        <v>37</v>
      </c>
      <c r="H482" s="20"/>
      <c r="I482" s="13" t="s">
        <v>21</v>
      </c>
      <c r="J482" s="13" t="s">
        <v>683</v>
      </c>
      <c r="K482" s="13"/>
      <c r="L482" s="17"/>
      <c r="M482" s="13" t="s">
        <v>416</v>
      </c>
      <c r="N482" s="17" t="s">
        <v>34</v>
      </c>
      <c r="O482" s="13"/>
      <c r="P482" s="13"/>
    </row>
    <row r="483" ht="15.6" spans="1:16">
      <c r="A483" s="10">
        <v>480</v>
      </c>
      <c r="B483" s="34" t="s">
        <v>834</v>
      </c>
      <c r="C483" s="34" t="s">
        <v>835</v>
      </c>
      <c r="D483" s="13" t="str">
        <f t="shared" si="37"/>
        <v>511721********573X</v>
      </c>
      <c r="E483" s="13" t="str">
        <f t="shared" si="38"/>
        <v>男</v>
      </c>
      <c r="F483" s="17">
        <f ca="1" t="shared" si="39"/>
        <v>19</v>
      </c>
      <c r="G483" s="13" t="s">
        <v>434</v>
      </c>
      <c r="H483" s="20"/>
      <c r="I483" s="13" t="s">
        <v>21</v>
      </c>
      <c r="J483" s="13" t="s">
        <v>683</v>
      </c>
      <c r="K483" s="13"/>
      <c r="L483" s="17"/>
      <c r="M483" s="13" t="s">
        <v>416</v>
      </c>
      <c r="N483" s="17" t="s">
        <v>34</v>
      </c>
      <c r="O483" s="13"/>
      <c r="P483" s="13"/>
    </row>
    <row r="484" ht="15.6" spans="1:16">
      <c r="A484" s="10">
        <v>481</v>
      </c>
      <c r="B484" s="34" t="s">
        <v>836</v>
      </c>
      <c r="C484" s="34" t="s">
        <v>837</v>
      </c>
      <c r="D484" s="13" t="str">
        <f t="shared" si="37"/>
        <v>511721********8991</v>
      </c>
      <c r="E484" s="13" t="str">
        <f t="shared" si="38"/>
        <v>男</v>
      </c>
      <c r="F484" s="17">
        <f ca="1" t="shared" si="39"/>
        <v>13</v>
      </c>
      <c r="G484" s="13" t="s">
        <v>434</v>
      </c>
      <c r="H484" s="20"/>
      <c r="I484" s="13" t="s">
        <v>21</v>
      </c>
      <c r="J484" s="13" t="s">
        <v>683</v>
      </c>
      <c r="K484" s="13"/>
      <c r="L484" s="17"/>
      <c r="M484" s="13" t="s">
        <v>416</v>
      </c>
      <c r="N484" s="17" t="s">
        <v>34</v>
      </c>
      <c r="O484" s="13"/>
      <c r="P484" s="13"/>
    </row>
    <row r="485" ht="15.6" spans="1:16">
      <c r="A485" s="10">
        <v>482</v>
      </c>
      <c r="B485" s="34" t="s">
        <v>838</v>
      </c>
      <c r="C485" s="34" t="s">
        <v>839</v>
      </c>
      <c r="D485" s="13" t="str">
        <f t="shared" si="37"/>
        <v>513021********0461</v>
      </c>
      <c r="E485" s="13" t="str">
        <f t="shared" si="38"/>
        <v>女</v>
      </c>
      <c r="F485" s="17">
        <f ca="1" t="shared" si="39"/>
        <v>32</v>
      </c>
      <c r="G485" s="13" t="s">
        <v>434</v>
      </c>
      <c r="H485" s="20"/>
      <c r="I485" s="13" t="s">
        <v>21</v>
      </c>
      <c r="J485" s="13" t="s">
        <v>683</v>
      </c>
      <c r="K485" s="13"/>
      <c r="L485" s="17"/>
      <c r="M485" s="13" t="s">
        <v>416</v>
      </c>
      <c r="N485" s="17" t="s">
        <v>34</v>
      </c>
      <c r="O485" s="13"/>
      <c r="P485" s="13"/>
    </row>
    <row r="486" spans="1:16">
      <c r="A486" s="10">
        <v>483</v>
      </c>
      <c r="B486" s="13" t="s">
        <v>840</v>
      </c>
      <c r="C486" s="13" t="str">
        <f>"513021196408100446"</f>
        <v>513021196408100446</v>
      </c>
      <c r="D486" s="13" t="str">
        <f t="shared" si="37"/>
        <v>513021********0446</v>
      </c>
      <c r="E486" s="13" t="str">
        <f t="shared" si="38"/>
        <v>女</v>
      </c>
      <c r="F486" s="17">
        <f ca="1" t="shared" si="39"/>
        <v>60</v>
      </c>
      <c r="G486" s="13" t="s">
        <v>20</v>
      </c>
      <c r="H486" s="18">
        <v>220</v>
      </c>
      <c r="I486" s="13" t="s">
        <v>21</v>
      </c>
      <c r="J486" s="13" t="s">
        <v>683</v>
      </c>
      <c r="K486" s="13"/>
      <c r="L486" s="17" t="str">
        <f>VLOOKUP(C486,[1]Sheet1!$B$2:$U$630,20,0)</f>
        <v>视力四级;</v>
      </c>
      <c r="M486" s="13" t="s">
        <v>416</v>
      </c>
      <c r="N486" s="17" t="s">
        <v>34</v>
      </c>
      <c r="O486" s="13"/>
      <c r="P486" s="13">
        <v>5</v>
      </c>
    </row>
    <row r="487" ht="15.6" spans="1:16">
      <c r="A487" s="10">
        <v>484</v>
      </c>
      <c r="B487" s="34" t="s">
        <v>841</v>
      </c>
      <c r="C487" s="34" t="s">
        <v>842</v>
      </c>
      <c r="D487" s="13" t="str">
        <f t="shared" si="37"/>
        <v>513021********0491</v>
      </c>
      <c r="E487" s="13" t="str">
        <f t="shared" si="38"/>
        <v>男</v>
      </c>
      <c r="F487" s="17">
        <f ca="1" t="shared" si="39"/>
        <v>36</v>
      </c>
      <c r="G487" s="13" t="s">
        <v>434</v>
      </c>
      <c r="H487" s="20"/>
      <c r="I487" s="13" t="s">
        <v>21</v>
      </c>
      <c r="J487" s="13" t="s">
        <v>683</v>
      </c>
      <c r="K487" s="13"/>
      <c r="L487" s="17"/>
      <c r="M487" s="13" t="s">
        <v>416</v>
      </c>
      <c r="N487" s="17" t="s">
        <v>34</v>
      </c>
      <c r="O487" s="13"/>
      <c r="P487" s="13"/>
    </row>
    <row r="488" ht="15.6" spans="1:16">
      <c r="A488" s="10">
        <v>485</v>
      </c>
      <c r="B488" s="34" t="s">
        <v>843</v>
      </c>
      <c r="C488" s="34" t="s">
        <v>844</v>
      </c>
      <c r="D488" s="13" t="str">
        <f t="shared" si="37"/>
        <v>522227********6848</v>
      </c>
      <c r="E488" s="13" t="str">
        <f t="shared" si="38"/>
        <v>女</v>
      </c>
      <c r="F488" s="17">
        <f ca="1" t="shared" si="39"/>
        <v>29</v>
      </c>
      <c r="G488" s="13" t="s">
        <v>475</v>
      </c>
      <c r="H488" s="20"/>
      <c r="I488" s="13" t="s">
        <v>21</v>
      </c>
      <c r="J488" s="13" t="s">
        <v>683</v>
      </c>
      <c r="K488" s="13"/>
      <c r="L488" s="17"/>
      <c r="M488" s="13" t="s">
        <v>416</v>
      </c>
      <c r="N488" s="17" t="s">
        <v>34</v>
      </c>
      <c r="O488" s="13"/>
      <c r="P488" s="13"/>
    </row>
    <row r="489" ht="15.6" spans="1:16">
      <c r="A489" s="10">
        <v>486</v>
      </c>
      <c r="B489" s="34" t="s">
        <v>845</v>
      </c>
      <c r="C489" s="34" t="s">
        <v>846</v>
      </c>
      <c r="D489" s="13" t="str">
        <f t="shared" si="37"/>
        <v>511721********0194</v>
      </c>
      <c r="E489" s="13" t="str">
        <f t="shared" si="38"/>
        <v>男</v>
      </c>
      <c r="F489" s="17">
        <f ca="1" t="shared" si="39"/>
        <v>8</v>
      </c>
      <c r="G489" s="13" t="s">
        <v>440</v>
      </c>
      <c r="H489" s="20"/>
      <c r="I489" s="13" t="s">
        <v>21</v>
      </c>
      <c r="J489" s="13" t="s">
        <v>683</v>
      </c>
      <c r="K489" s="13"/>
      <c r="L489" s="17"/>
      <c r="M489" s="13" t="s">
        <v>416</v>
      </c>
      <c r="N489" s="17" t="s">
        <v>34</v>
      </c>
      <c r="O489" s="13"/>
      <c r="P489" s="13"/>
    </row>
    <row r="490" ht="15.6" spans="1:16">
      <c r="A490" s="10">
        <v>487</v>
      </c>
      <c r="B490" s="34" t="s">
        <v>847</v>
      </c>
      <c r="C490" s="34" t="s">
        <v>848</v>
      </c>
      <c r="D490" s="13" t="str">
        <f t="shared" si="37"/>
        <v>511721********5712</v>
      </c>
      <c r="E490" s="13" t="str">
        <f t="shared" si="38"/>
        <v>男</v>
      </c>
      <c r="F490" s="17">
        <f ca="1" t="shared" si="39"/>
        <v>16</v>
      </c>
      <c r="G490" s="13" t="s">
        <v>440</v>
      </c>
      <c r="H490" s="20"/>
      <c r="I490" s="13" t="s">
        <v>21</v>
      </c>
      <c r="J490" s="13" t="s">
        <v>683</v>
      </c>
      <c r="K490" s="13"/>
      <c r="L490" s="17"/>
      <c r="M490" s="13" t="s">
        <v>416</v>
      </c>
      <c r="N490" s="17" t="s">
        <v>34</v>
      </c>
      <c r="O490" s="13"/>
      <c r="P490" s="13"/>
    </row>
    <row r="491" spans="1:16">
      <c r="A491" s="10">
        <v>488</v>
      </c>
      <c r="B491" s="13" t="s">
        <v>849</v>
      </c>
      <c r="C491" s="13" t="str">
        <f>"513021195603030442"</f>
        <v>513021195603030442</v>
      </c>
      <c r="D491" s="13" t="str">
        <f t="shared" si="37"/>
        <v>513021********0442</v>
      </c>
      <c r="E491" s="13" t="str">
        <f t="shared" si="38"/>
        <v>女</v>
      </c>
      <c r="F491" s="17">
        <f ca="1" t="shared" si="39"/>
        <v>68</v>
      </c>
      <c r="G491" s="13" t="s">
        <v>20</v>
      </c>
      <c r="H491" s="18">
        <v>240</v>
      </c>
      <c r="I491" s="13" t="s">
        <v>21</v>
      </c>
      <c r="J491" s="13" t="s">
        <v>683</v>
      </c>
      <c r="K491" s="13"/>
      <c r="L491" s="17"/>
      <c r="M491" s="13" t="s">
        <v>416</v>
      </c>
      <c r="N491" s="17"/>
      <c r="O491" s="13" t="s">
        <v>417</v>
      </c>
      <c r="P491" s="13">
        <v>1</v>
      </c>
    </row>
    <row r="492" spans="1:16">
      <c r="A492" s="10">
        <v>489</v>
      </c>
      <c r="B492" s="13" t="s">
        <v>850</v>
      </c>
      <c r="C492" s="13" t="str">
        <f>"513021196006060453"</f>
        <v>513021196006060453</v>
      </c>
      <c r="D492" s="13" t="str">
        <f t="shared" si="37"/>
        <v>513021********0453</v>
      </c>
      <c r="E492" s="13" t="str">
        <f t="shared" si="38"/>
        <v>男</v>
      </c>
      <c r="F492" s="17">
        <f ca="1" t="shared" si="39"/>
        <v>64</v>
      </c>
      <c r="G492" s="13" t="s">
        <v>20</v>
      </c>
      <c r="H492" s="18">
        <v>220</v>
      </c>
      <c r="I492" s="13" t="s">
        <v>21</v>
      </c>
      <c r="J492" s="13" t="s">
        <v>683</v>
      </c>
      <c r="K492" s="13"/>
      <c r="L492" s="17"/>
      <c r="M492" s="13" t="s">
        <v>416</v>
      </c>
      <c r="N492" s="17" t="s">
        <v>34</v>
      </c>
      <c r="O492" s="13"/>
      <c r="P492" s="13">
        <v>2</v>
      </c>
    </row>
    <row r="493" ht="15.6" spans="1:16">
      <c r="A493" s="10">
        <v>490</v>
      </c>
      <c r="B493" s="34" t="s">
        <v>851</v>
      </c>
      <c r="C493" s="34" t="s">
        <v>852</v>
      </c>
      <c r="D493" s="13" t="str">
        <f t="shared" si="37"/>
        <v>513021********0465</v>
      </c>
      <c r="E493" s="13" t="str">
        <f t="shared" si="38"/>
        <v>女</v>
      </c>
      <c r="F493" s="17">
        <f ca="1" t="shared" si="39"/>
        <v>67</v>
      </c>
      <c r="G493" s="13" t="s">
        <v>37</v>
      </c>
      <c r="H493" s="20"/>
      <c r="I493" s="13" t="s">
        <v>21</v>
      </c>
      <c r="J493" s="13" t="s">
        <v>683</v>
      </c>
      <c r="K493" s="13"/>
      <c r="L493" s="17"/>
      <c r="M493" s="13" t="s">
        <v>416</v>
      </c>
      <c r="N493" s="17" t="s">
        <v>34</v>
      </c>
      <c r="O493" s="13"/>
      <c r="P493" s="13"/>
    </row>
    <row r="494" spans="1:16">
      <c r="A494" s="10">
        <v>491</v>
      </c>
      <c r="B494" s="13" t="s">
        <v>853</v>
      </c>
      <c r="C494" s="13" t="str">
        <f>"513021197001190456"</f>
        <v>513021197001190456</v>
      </c>
      <c r="D494" s="13" t="str">
        <f t="shared" si="37"/>
        <v>513021********0456</v>
      </c>
      <c r="E494" s="13" t="str">
        <f t="shared" si="38"/>
        <v>男</v>
      </c>
      <c r="F494" s="17">
        <f ca="1" t="shared" si="39"/>
        <v>54</v>
      </c>
      <c r="G494" s="13" t="s">
        <v>20</v>
      </c>
      <c r="H494" s="18">
        <v>240</v>
      </c>
      <c r="I494" s="13" t="s">
        <v>21</v>
      </c>
      <c r="J494" s="13" t="s">
        <v>683</v>
      </c>
      <c r="K494" s="13"/>
      <c r="L494" s="17"/>
      <c r="M494" s="13" t="s">
        <v>416</v>
      </c>
      <c r="N494" s="17"/>
      <c r="O494" s="13" t="s">
        <v>417</v>
      </c>
      <c r="P494" s="13">
        <v>1</v>
      </c>
    </row>
    <row r="495" spans="1:16">
      <c r="A495" s="10">
        <v>492</v>
      </c>
      <c r="B495" s="13" t="s">
        <v>854</v>
      </c>
      <c r="C495" s="13" t="str">
        <f>"513021197001030479"</f>
        <v>513021197001030479</v>
      </c>
      <c r="D495" s="13" t="str">
        <f t="shared" si="37"/>
        <v>513021********0479</v>
      </c>
      <c r="E495" s="13" t="str">
        <f t="shared" si="38"/>
        <v>男</v>
      </c>
      <c r="F495" s="17">
        <f ca="1" t="shared" si="39"/>
        <v>54</v>
      </c>
      <c r="G495" s="13" t="s">
        <v>20</v>
      </c>
      <c r="H495" s="18">
        <v>220</v>
      </c>
      <c r="I495" s="13" t="s">
        <v>21</v>
      </c>
      <c r="J495" s="13" t="s">
        <v>683</v>
      </c>
      <c r="K495" s="13"/>
      <c r="L495" s="17" t="str">
        <f>VLOOKUP(C495,[1]Sheet1!$B$2:$U$630,20,0)</f>
        <v>肢体二级;</v>
      </c>
      <c r="M495" s="13" t="s">
        <v>416</v>
      </c>
      <c r="N495" s="17" t="s">
        <v>34</v>
      </c>
      <c r="O495" s="13"/>
      <c r="P495" s="13">
        <v>2</v>
      </c>
    </row>
    <row r="496" ht="15.6" spans="1:16">
      <c r="A496" s="10">
        <v>493</v>
      </c>
      <c r="B496" s="34" t="s">
        <v>855</v>
      </c>
      <c r="C496" s="34" t="s">
        <v>856</v>
      </c>
      <c r="D496" s="13" t="str">
        <f t="shared" si="37"/>
        <v>513021********0450</v>
      </c>
      <c r="E496" s="13" t="str">
        <f t="shared" si="38"/>
        <v>男</v>
      </c>
      <c r="F496" s="17">
        <f ca="1" t="shared" si="39"/>
        <v>32</v>
      </c>
      <c r="G496" s="34" t="s">
        <v>429</v>
      </c>
      <c r="H496" s="20"/>
      <c r="I496" s="13" t="s">
        <v>21</v>
      </c>
      <c r="J496" s="13" t="s">
        <v>683</v>
      </c>
      <c r="K496" s="13"/>
      <c r="L496" s="17"/>
      <c r="M496" s="13" t="s">
        <v>416</v>
      </c>
      <c r="N496" s="17" t="s">
        <v>34</v>
      </c>
      <c r="O496" s="13"/>
      <c r="P496" s="13"/>
    </row>
    <row r="497" spans="1:16">
      <c r="A497" s="10">
        <v>494</v>
      </c>
      <c r="B497" s="13" t="s">
        <v>857</v>
      </c>
      <c r="C497" s="13" t="str">
        <f>"513021199910240456"</f>
        <v>513021199910240456</v>
      </c>
      <c r="D497" s="13" t="str">
        <f t="shared" si="37"/>
        <v>513021********0456</v>
      </c>
      <c r="E497" s="13" t="str">
        <f t="shared" si="38"/>
        <v>男</v>
      </c>
      <c r="F497" s="17">
        <f ca="1" t="shared" si="39"/>
        <v>25</v>
      </c>
      <c r="G497" s="13" t="s">
        <v>20</v>
      </c>
      <c r="H497" s="18">
        <v>240</v>
      </c>
      <c r="I497" s="13" t="s">
        <v>21</v>
      </c>
      <c r="J497" s="13" t="s">
        <v>683</v>
      </c>
      <c r="K497" s="13"/>
      <c r="L497" s="17" t="str">
        <f>VLOOKUP(C497,[1]Sheet1!$B$2:$U$630,20,0)</f>
        <v>智力二级;</v>
      </c>
      <c r="M497" s="13" t="s">
        <v>416</v>
      </c>
      <c r="N497" s="17"/>
      <c r="O497" s="13" t="s">
        <v>417</v>
      </c>
      <c r="P497" s="13">
        <v>1</v>
      </c>
    </row>
    <row r="498" spans="1:16">
      <c r="A498" s="10">
        <v>495</v>
      </c>
      <c r="B498" s="13" t="s">
        <v>858</v>
      </c>
      <c r="C498" s="13" t="str">
        <f>"513021193808110455"</f>
        <v>513021193808110455</v>
      </c>
      <c r="D498" s="13" t="str">
        <f t="shared" si="37"/>
        <v>513021********0455</v>
      </c>
      <c r="E498" s="13" t="str">
        <f t="shared" si="38"/>
        <v>男</v>
      </c>
      <c r="F498" s="17">
        <f ca="1" t="shared" si="39"/>
        <v>86</v>
      </c>
      <c r="G498" s="13" t="s">
        <v>20</v>
      </c>
      <c r="H498" s="18">
        <v>240</v>
      </c>
      <c r="I498" s="13" t="s">
        <v>21</v>
      </c>
      <c r="J498" s="13" t="s">
        <v>683</v>
      </c>
      <c r="K498" s="13"/>
      <c r="L498" s="17"/>
      <c r="M498" s="13" t="s">
        <v>416</v>
      </c>
      <c r="N498" s="17"/>
      <c r="O498" s="13" t="s">
        <v>417</v>
      </c>
      <c r="P498" s="13">
        <v>1</v>
      </c>
    </row>
    <row r="499" spans="1:16">
      <c r="A499" s="10">
        <v>496</v>
      </c>
      <c r="B499" s="13" t="s">
        <v>859</v>
      </c>
      <c r="C499" s="13" t="str">
        <f>"513021193412140447"</f>
        <v>513021193412140447</v>
      </c>
      <c r="D499" s="13" t="str">
        <f t="shared" si="37"/>
        <v>513021********0447</v>
      </c>
      <c r="E499" s="13" t="str">
        <f t="shared" si="38"/>
        <v>女</v>
      </c>
      <c r="F499" s="17">
        <f ca="1" t="shared" si="39"/>
        <v>90</v>
      </c>
      <c r="G499" s="13" t="s">
        <v>20</v>
      </c>
      <c r="H499" s="18">
        <v>240</v>
      </c>
      <c r="I499" s="13" t="s">
        <v>21</v>
      </c>
      <c r="J499" s="13" t="s">
        <v>683</v>
      </c>
      <c r="K499" s="13"/>
      <c r="L499" s="17"/>
      <c r="M499" s="13" t="s">
        <v>416</v>
      </c>
      <c r="N499" s="17"/>
      <c r="O499" s="13" t="s">
        <v>417</v>
      </c>
      <c r="P499" s="13">
        <v>1</v>
      </c>
    </row>
    <row r="500" spans="1:16">
      <c r="A500" s="10">
        <v>497</v>
      </c>
      <c r="B500" s="13" t="s">
        <v>860</v>
      </c>
      <c r="C500" s="13" t="str">
        <f>"513021196601030451"</f>
        <v>513021196601030451</v>
      </c>
      <c r="D500" s="13" t="str">
        <f t="shared" si="37"/>
        <v>513021********0451</v>
      </c>
      <c r="E500" s="13" t="str">
        <f t="shared" si="38"/>
        <v>男</v>
      </c>
      <c r="F500" s="17">
        <f ca="1" t="shared" si="39"/>
        <v>58</v>
      </c>
      <c r="G500" s="13" t="s">
        <v>20</v>
      </c>
      <c r="H500" s="18">
        <v>240</v>
      </c>
      <c r="I500" s="13" t="s">
        <v>21</v>
      </c>
      <c r="J500" s="13" t="s">
        <v>683</v>
      </c>
      <c r="K500" s="13"/>
      <c r="L500" s="17" t="str">
        <f>VLOOKUP(C500,[1]Sheet1!$B$2:$U$630,20,0)</f>
        <v>视力四级;</v>
      </c>
      <c r="M500" s="13" t="s">
        <v>416</v>
      </c>
      <c r="N500" s="17"/>
      <c r="O500" s="13" t="s">
        <v>417</v>
      </c>
      <c r="P500" s="13">
        <v>1</v>
      </c>
    </row>
    <row r="501" spans="1:16">
      <c r="A501" s="10">
        <v>498</v>
      </c>
      <c r="B501" s="13" t="s">
        <v>861</v>
      </c>
      <c r="C501" s="13" t="str">
        <f>"513021195212050446"</f>
        <v>513021195212050446</v>
      </c>
      <c r="D501" s="13" t="str">
        <f t="shared" si="37"/>
        <v>513021********0446</v>
      </c>
      <c r="E501" s="13" t="str">
        <f t="shared" si="38"/>
        <v>女</v>
      </c>
      <c r="F501" s="17">
        <f ca="1" t="shared" si="39"/>
        <v>72</v>
      </c>
      <c r="G501" s="13" t="s">
        <v>20</v>
      </c>
      <c r="H501" s="18">
        <v>240</v>
      </c>
      <c r="I501" s="13" t="s">
        <v>21</v>
      </c>
      <c r="J501" s="13" t="s">
        <v>683</v>
      </c>
      <c r="K501" s="13"/>
      <c r="L501" s="17"/>
      <c r="M501" s="13" t="s">
        <v>416</v>
      </c>
      <c r="N501" s="17"/>
      <c r="O501" s="13" t="s">
        <v>417</v>
      </c>
      <c r="P501" s="13">
        <v>1</v>
      </c>
    </row>
    <row r="502" spans="1:16">
      <c r="A502" s="10">
        <v>499</v>
      </c>
      <c r="B502" s="13" t="s">
        <v>862</v>
      </c>
      <c r="C502" s="13" t="str">
        <f>"513021195504020492"</f>
        <v>513021195504020492</v>
      </c>
      <c r="D502" s="13" t="str">
        <f t="shared" si="37"/>
        <v>513021********0492</v>
      </c>
      <c r="E502" s="13" t="str">
        <f t="shared" si="38"/>
        <v>男</v>
      </c>
      <c r="F502" s="17">
        <f ca="1" t="shared" si="39"/>
        <v>69</v>
      </c>
      <c r="G502" s="13" t="s">
        <v>20</v>
      </c>
      <c r="H502" s="18">
        <v>240</v>
      </c>
      <c r="I502" s="13" t="s">
        <v>21</v>
      </c>
      <c r="J502" s="13" t="s">
        <v>683</v>
      </c>
      <c r="K502" s="13"/>
      <c r="L502" s="17" t="str">
        <f>VLOOKUP(C502,[1]Sheet1!$B$2:$U$630,20,0)</f>
        <v>肢体三级;</v>
      </c>
      <c r="M502" s="13" t="s">
        <v>416</v>
      </c>
      <c r="N502" s="17"/>
      <c r="O502" s="13" t="s">
        <v>417</v>
      </c>
      <c r="P502" s="13">
        <v>1</v>
      </c>
    </row>
    <row r="503" spans="1:16">
      <c r="A503" s="10">
        <v>500</v>
      </c>
      <c r="B503" s="13" t="s">
        <v>421</v>
      </c>
      <c r="C503" s="13" t="str">
        <f>"513021193708250450"</f>
        <v>513021193708250450</v>
      </c>
      <c r="D503" s="13" t="str">
        <f t="shared" si="37"/>
        <v>513021********0450</v>
      </c>
      <c r="E503" s="13" t="str">
        <f t="shared" si="38"/>
        <v>男</v>
      </c>
      <c r="F503" s="17">
        <f ca="1" t="shared" si="39"/>
        <v>87</v>
      </c>
      <c r="G503" s="13" t="s">
        <v>20</v>
      </c>
      <c r="H503" s="18">
        <v>240</v>
      </c>
      <c r="I503" s="13" t="s">
        <v>21</v>
      </c>
      <c r="J503" s="13" t="s">
        <v>683</v>
      </c>
      <c r="K503" s="13"/>
      <c r="L503" s="17"/>
      <c r="M503" s="17" t="s">
        <v>278</v>
      </c>
      <c r="N503" s="17"/>
      <c r="O503" s="13" t="s">
        <v>417</v>
      </c>
      <c r="P503" s="13">
        <v>1</v>
      </c>
    </row>
    <row r="504" spans="1:16">
      <c r="A504" s="10">
        <v>501</v>
      </c>
      <c r="B504" s="13" t="s">
        <v>863</v>
      </c>
      <c r="C504" s="13" t="str">
        <f>"513021197405210441"</f>
        <v>513021197405210441</v>
      </c>
      <c r="D504" s="13" t="str">
        <f t="shared" si="37"/>
        <v>513021********0441</v>
      </c>
      <c r="E504" s="13" t="str">
        <f t="shared" si="38"/>
        <v>女</v>
      </c>
      <c r="F504" s="17">
        <f ca="1" t="shared" si="39"/>
        <v>50</v>
      </c>
      <c r="G504" s="13" t="s">
        <v>20</v>
      </c>
      <c r="H504" s="18">
        <v>240</v>
      </c>
      <c r="I504" s="13" t="s">
        <v>21</v>
      </c>
      <c r="J504" s="13" t="s">
        <v>683</v>
      </c>
      <c r="K504" s="13"/>
      <c r="L504" s="17" t="str">
        <f>VLOOKUP(C504,[1]Sheet1!$B$2:$U$630,20,0)</f>
        <v>智力四级;</v>
      </c>
      <c r="M504" s="13" t="s">
        <v>416</v>
      </c>
      <c r="N504" s="17"/>
      <c r="O504" s="13" t="s">
        <v>417</v>
      </c>
      <c r="P504" s="13">
        <v>1</v>
      </c>
    </row>
    <row r="505" spans="1:16">
      <c r="A505" s="10">
        <v>502</v>
      </c>
      <c r="B505" s="13" t="s">
        <v>621</v>
      </c>
      <c r="C505" s="13" t="str">
        <f>"513021195210020446"</f>
        <v>513021195210020446</v>
      </c>
      <c r="D505" s="13" t="str">
        <f t="shared" si="37"/>
        <v>513021********0446</v>
      </c>
      <c r="E505" s="13" t="str">
        <f t="shared" si="38"/>
        <v>女</v>
      </c>
      <c r="F505" s="17">
        <f ca="1" t="shared" si="39"/>
        <v>72</v>
      </c>
      <c r="G505" s="13" t="s">
        <v>20</v>
      </c>
      <c r="H505" s="18">
        <v>480</v>
      </c>
      <c r="I505" s="13" t="s">
        <v>21</v>
      </c>
      <c r="J505" s="13" t="s">
        <v>683</v>
      </c>
      <c r="K505" s="13"/>
      <c r="L505" s="17"/>
      <c r="M505" s="13" t="s">
        <v>416</v>
      </c>
      <c r="N505" s="17" t="s">
        <v>34</v>
      </c>
      <c r="O505" s="13"/>
      <c r="P505" s="13">
        <v>2</v>
      </c>
    </row>
    <row r="506" ht="15.6" spans="1:16">
      <c r="A506" s="10">
        <v>503</v>
      </c>
      <c r="B506" s="34" t="s">
        <v>864</v>
      </c>
      <c r="C506" s="34" t="s">
        <v>865</v>
      </c>
      <c r="D506" s="13" t="str">
        <f t="shared" si="37"/>
        <v>513021********0454</v>
      </c>
      <c r="E506" s="13" t="str">
        <f t="shared" si="38"/>
        <v>男</v>
      </c>
      <c r="F506" s="17">
        <f ca="1" t="shared" si="39"/>
        <v>51</v>
      </c>
      <c r="G506" s="34" t="s">
        <v>475</v>
      </c>
      <c r="H506" s="20"/>
      <c r="I506" s="13" t="s">
        <v>21</v>
      </c>
      <c r="J506" s="13" t="s">
        <v>683</v>
      </c>
      <c r="K506" s="13"/>
      <c r="L506" s="17"/>
      <c r="M506" s="13" t="s">
        <v>416</v>
      </c>
      <c r="N506" s="17" t="s">
        <v>34</v>
      </c>
      <c r="O506" s="13"/>
      <c r="P506" s="13"/>
    </row>
    <row r="507" spans="1:16">
      <c r="A507" s="10">
        <v>504</v>
      </c>
      <c r="B507" s="13" t="s">
        <v>866</v>
      </c>
      <c r="C507" s="13" t="str">
        <f>"513021193603210444"</f>
        <v>513021193603210444</v>
      </c>
      <c r="D507" s="13" t="str">
        <f t="shared" si="37"/>
        <v>513021********0444</v>
      </c>
      <c r="E507" s="13" t="str">
        <f t="shared" si="38"/>
        <v>女</v>
      </c>
      <c r="F507" s="17">
        <f ca="1" t="shared" si="39"/>
        <v>88</v>
      </c>
      <c r="G507" s="13" t="s">
        <v>20</v>
      </c>
      <c r="H507" s="18">
        <v>240</v>
      </c>
      <c r="I507" s="13" t="s">
        <v>21</v>
      </c>
      <c r="J507" s="13" t="s">
        <v>683</v>
      </c>
      <c r="K507" s="13"/>
      <c r="L507" s="17"/>
      <c r="M507" s="13" t="s">
        <v>416</v>
      </c>
      <c r="N507" s="17"/>
      <c r="O507" s="13" t="s">
        <v>417</v>
      </c>
      <c r="P507" s="13">
        <v>1</v>
      </c>
    </row>
    <row r="508" spans="1:16">
      <c r="A508" s="10">
        <v>505</v>
      </c>
      <c r="B508" s="13" t="s">
        <v>867</v>
      </c>
      <c r="C508" s="13" t="str">
        <f>"513021196409210452"</f>
        <v>513021196409210452</v>
      </c>
      <c r="D508" s="13" t="str">
        <f t="shared" si="37"/>
        <v>513021********0452</v>
      </c>
      <c r="E508" s="13" t="str">
        <f t="shared" si="38"/>
        <v>男</v>
      </c>
      <c r="F508" s="17">
        <f ca="1" t="shared" si="39"/>
        <v>60</v>
      </c>
      <c r="G508" s="13" t="s">
        <v>20</v>
      </c>
      <c r="H508" s="18">
        <v>240</v>
      </c>
      <c r="I508" s="13" t="s">
        <v>21</v>
      </c>
      <c r="J508" s="13" t="s">
        <v>683</v>
      </c>
      <c r="K508" s="13"/>
      <c r="L508" s="17" t="str">
        <f>VLOOKUP(C508,[1]Sheet1!$B$2:$U$630,20,0)</f>
        <v>听力一级;</v>
      </c>
      <c r="M508" s="13" t="s">
        <v>416</v>
      </c>
      <c r="N508" s="17"/>
      <c r="O508" s="13" t="s">
        <v>417</v>
      </c>
      <c r="P508" s="13">
        <v>1</v>
      </c>
    </row>
    <row r="509" spans="1:16">
      <c r="A509" s="10">
        <v>506</v>
      </c>
      <c r="B509" s="13" t="s">
        <v>868</v>
      </c>
      <c r="C509" s="13" t="str">
        <f>"513021194606010442"</f>
        <v>513021194606010442</v>
      </c>
      <c r="D509" s="13" t="str">
        <f t="shared" si="37"/>
        <v>513021********0442</v>
      </c>
      <c r="E509" s="13" t="str">
        <f t="shared" si="38"/>
        <v>女</v>
      </c>
      <c r="F509" s="17">
        <f ca="1" t="shared" si="39"/>
        <v>78</v>
      </c>
      <c r="G509" s="13" t="s">
        <v>20</v>
      </c>
      <c r="H509" s="18">
        <v>240</v>
      </c>
      <c r="I509" s="13" t="s">
        <v>21</v>
      </c>
      <c r="J509" s="13" t="s">
        <v>683</v>
      </c>
      <c r="K509" s="13"/>
      <c r="L509" s="17"/>
      <c r="M509" s="13" t="s">
        <v>416</v>
      </c>
      <c r="N509" s="17"/>
      <c r="O509" s="13" t="s">
        <v>417</v>
      </c>
      <c r="P509" s="13">
        <v>1</v>
      </c>
    </row>
    <row r="510" spans="1:16">
      <c r="A510" s="10">
        <v>507</v>
      </c>
      <c r="B510" s="13" t="s">
        <v>869</v>
      </c>
      <c r="C510" s="13" t="str">
        <f>"513021194912180458"</f>
        <v>513021194912180458</v>
      </c>
      <c r="D510" s="13" t="str">
        <f t="shared" si="37"/>
        <v>513021********0458</v>
      </c>
      <c r="E510" s="13" t="str">
        <f t="shared" si="38"/>
        <v>男</v>
      </c>
      <c r="F510" s="17">
        <f ca="1" t="shared" si="39"/>
        <v>75</v>
      </c>
      <c r="G510" s="13" t="s">
        <v>20</v>
      </c>
      <c r="H510" s="18">
        <v>240</v>
      </c>
      <c r="I510" s="13" t="s">
        <v>21</v>
      </c>
      <c r="J510" s="13" t="s">
        <v>683</v>
      </c>
      <c r="K510" s="13"/>
      <c r="L510" s="17"/>
      <c r="M510" s="13" t="s">
        <v>416</v>
      </c>
      <c r="N510" s="17"/>
      <c r="O510" s="13" t="s">
        <v>417</v>
      </c>
      <c r="P510" s="13">
        <v>1</v>
      </c>
    </row>
    <row r="511" spans="1:16">
      <c r="A511" s="10">
        <v>508</v>
      </c>
      <c r="B511" s="13" t="s">
        <v>870</v>
      </c>
      <c r="C511" s="13" t="str">
        <f>"513021194707050451"</f>
        <v>513021194707050451</v>
      </c>
      <c r="D511" s="13" t="str">
        <f t="shared" si="37"/>
        <v>513021********0451</v>
      </c>
      <c r="E511" s="13" t="str">
        <f t="shared" si="38"/>
        <v>男</v>
      </c>
      <c r="F511" s="17">
        <f ca="1" t="shared" si="39"/>
        <v>77</v>
      </c>
      <c r="G511" s="13" t="s">
        <v>20</v>
      </c>
      <c r="H511" s="18">
        <v>220</v>
      </c>
      <c r="I511" s="13" t="s">
        <v>21</v>
      </c>
      <c r="J511" s="13" t="s">
        <v>683</v>
      </c>
      <c r="K511" s="13"/>
      <c r="L511" s="17" t="str">
        <f>VLOOKUP(C511,[1]Sheet1!$B$2:$U$630,20,0)</f>
        <v>听力二级;</v>
      </c>
      <c r="M511" s="13" t="s">
        <v>416</v>
      </c>
      <c r="N511" s="17" t="s">
        <v>34</v>
      </c>
      <c r="O511" s="13"/>
      <c r="P511" s="13">
        <v>7</v>
      </c>
    </row>
    <row r="512" ht="15.6" spans="1:16">
      <c r="A512" s="10">
        <v>509</v>
      </c>
      <c r="B512" s="34" t="s">
        <v>871</v>
      </c>
      <c r="C512" s="34" t="s">
        <v>872</v>
      </c>
      <c r="D512" s="13" t="str">
        <f t="shared" si="37"/>
        <v>513021********0449</v>
      </c>
      <c r="E512" s="13" t="str">
        <f t="shared" si="38"/>
        <v>女</v>
      </c>
      <c r="F512" s="17">
        <f ca="1" t="shared" si="39"/>
        <v>75</v>
      </c>
      <c r="G512" s="13" t="s">
        <v>37</v>
      </c>
      <c r="H512" s="20"/>
      <c r="I512" s="13" t="s">
        <v>21</v>
      </c>
      <c r="J512" s="13" t="s">
        <v>683</v>
      </c>
      <c r="K512" s="13"/>
      <c r="L512" s="17"/>
      <c r="M512" s="13" t="s">
        <v>416</v>
      </c>
      <c r="N512" s="17" t="s">
        <v>34</v>
      </c>
      <c r="O512" s="13"/>
      <c r="P512" s="13"/>
    </row>
    <row r="513" ht="15.6" spans="1:16">
      <c r="A513" s="10">
        <v>510</v>
      </c>
      <c r="B513" s="34" t="s">
        <v>873</v>
      </c>
      <c r="C513" s="34" t="s">
        <v>874</v>
      </c>
      <c r="D513" s="13" t="str">
        <f t="shared" si="37"/>
        <v>513021********0454</v>
      </c>
      <c r="E513" s="13" t="str">
        <f t="shared" si="38"/>
        <v>男</v>
      </c>
      <c r="F513" s="17">
        <f ca="1" t="shared" si="39"/>
        <v>55</v>
      </c>
      <c r="G513" s="13" t="s">
        <v>429</v>
      </c>
      <c r="H513" s="20"/>
      <c r="I513" s="13" t="s">
        <v>21</v>
      </c>
      <c r="J513" s="13" t="s">
        <v>683</v>
      </c>
      <c r="K513" s="13"/>
      <c r="L513" s="17"/>
      <c r="M513" s="13" t="s">
        <v>416</v>
      </c>
      <c r="N513" s="17" t="s">
        <v>34</v>
      </c>
      <c r="O513" s="13"/>
      <c r="P513" s="13"/>
    </row>
    <row r="514" ht="15.6" spans="1:16">
      <c r="A514" s="10">
        <v>511</v>
      </c>
      <c r="B514" s="34" t="s">
        <v>875</v>
      </c>
      <c r="C514" s="34" t="s">
        <v>876</v>
      </c>
      <c r="D514" s="13" t="str">
        <f t="shared" si="37"/>
        <v>513021********0481</v>
      </c>
      <c r="E514" s="13" t="str">
        <f t="shared" si="38"/>
        <v>女</v>
      </c>
      <c r="F514" s="17">
        <f ca="1" t="shared" si="39"/>
        <v>55</v>
      </c>
      <c r="G514" s="13" t="s">
        <v>510</v>
      </c>
      <c r="H514" s="20"/>
      <c r="I514" s="13" t="s">
        <v>21</v>
      </c>
      <c r="J514" s="13" t="s">
        <v>683</v>
      </c>
      <c r="K514" s="13"/>
      <c r="L514" s="17"/>
      <c r="M514" s="13" t="s">
        <v>416</v>
      </c>
      <c r="N514" s="17" t="s">
        <v>34</v>
      </c>
      <c r="O514" s="13"/>
      <c r="P514" s="13"/>
    </row>
    <row r="515" ht="15.6" spans="1:16">
      <c r="A515" s="10">
        <v>512</v>
      </c>
      <c r="B515" s="34" t="s">
        <v>877</v>
      </c>
      <c r="C515" s="34" t="s">
        <v>878</v>
      </c>
      <c r="D515" s="13" t="str">
        <f t="shared" si="37"/>
        <v>511721********5735</v>
      </c>
      <c r="E515" s="13" t="str">
        <f t="shared" si="38"/>
        <v>男</v>
      </c>
      <c r="F515" s="17">
        <f ca="1" t="shared" si="39"/>
        <v>19</v>
      </c>
      <c r="G515" s="13" t="s">
        <v>440</v>
      </c>
      <c r="H515" s="20"/>
      <c r="I515" s="13" t="s">
        <v>21</v>
      </c>
      <c r="J515" s="13" t="s">
        <v>683</v>
      </c>
      <c r="K515" s="13"/>
      <c r="L515" s="17"/>
      <c r="M515" s="13" t="s">
        <v>416</v>
      </c>
      <c r="N515" s="17" t="s">
        <v>34</v>
      </c>
      <c r="O515" s="13"/>
      <c r="P515" s="13"/>
    </row>
    <row r="516" ht="15.6" spans="1:16">
      <c r="A516" s="10">
        <v>513</v>
      </c>
      <c r="B516" s="34" t="s">
        <v>879</v>
      </c>
      <c r="C516" s="34" t="s">
        <v>880</v>
      </c>
      <c r="D516" s="13" t="str">
        <f t="shared" si="37"/>
        <v>511721********5719</v>
      </c>
      <c r="E516" s="13" t="str">
        <f t="shared" si="38"/>
        <v>男</v>
      </c>
      <c r="F516" s="17">
        <f ca="1" t="shared" si="39"/>
        <v>19</v>
      </c>
      <c r="G516" s="13" t="s">
        <v>440</v>
      </c>
      <c r="H516" s="20"/>
      <c r="I516" s="13" t="s">
        <v>21</v>
      </c>
      <c r="J516" s="13" t="s">
        <v>683</v>
      </c>
      <c r="K516" s="13"/>
      <c r="L516" s="17"/>
      <c r="M516" s="13" t="s">
        <v>416</v>
      </c>
      <c r="N516" s="17" t="s">
        <v>34</v>
      </c>
      <c r="O516" s="13"/>
      <c r="P516" s="13"/>
    </row>
    <row r="517" ht="15.6" spans="1:16">
      <c r="A517" s="10">
        <v>514</v>
      </c>
      <c r="B517" s="34" t="s">
        <v>881</v>
      </c>
      <c r="C517" s="34" t="s">
        <v>882</v>
      </c>
      <c r="D517" s="13" t="str">
        <f t="shared" ref="D517:D580" si="40">REPLACE(C517,7,8,"********")</f>
        <v>513021********0454</v>
      </c>
      <c r="E517" s="13" t="str">
        <f t="shared" si="38"/>
        <v>男</v>
      </c>
      <c r="F517" s="17">
        <f ca="1" t="shared" si="39"/>
        <v>32</v>
      </c>
      <c r="G517" s="13" t="s">
        <v>429</v>
      </c>
      <c r="H517" s="20"/>
      <c r="I517" s="13" t="s">
        <v>21</v>
      </c>
      <c r="J517" s="13" t="s">
        <v>683</v>
      </c>
      <c r="K517" s="13"/>
      <c r="L517" s="17"/>
      <c r="M517" s="13" t="s">
        <v>416</v>
      </c>
      <c r="N517" s="17" t="s">
        <v>34</v>
      </c>
      <c r="O517" s="13"/>
      <c r="P517" s="13"/>
    </row>
    <row r="518" spans="1:16">
      <c r="A518" s="10">
        <v>515</v>
      </c>
      <c r="B518" s="13" t="s">
        <v>883</v>
      </c>
      <c r="C518" s="13" t="str">
        <f>"513021199905230456"</f>
        <v>513021199905230456</v>
      </c>
      <c r="D518" s="13" t="str">
        <f t="shared" si="40"/>
        <v>513021********0456</v>
      </c>
      <c r="E518" s="13" t="str">
        <f t="shared" si="38"/>
        <v>男</v>
      </c>
      <c r="F518" s="17">
        <f ca="1" t="shared" si="39"/>
        <v>25</v>
      </c>
      <c r="G518" s="13" t="s">
        <v>20</v>
      </c>
      <c r="H518" s="18">
        <v>240</v>
      </c>
      <c r="I518" s="13" t="s">
        <v>21</v>
      </c>
      <c r="J518" s="13" t="s">
        <v>683</v>
      </c>
      <c r="K518" s="13"/>
      <c r="L518" s="17" t="str">
        <f>VLOOKUP(C518,[1]Sheet1!$B$2:$U$630,20,0)</f>
        <v>肢体四级;</v>
      </c>
      <c r="M518" s="13" t="s">
        <v>416</v>
      </c>
      <c r="N518" s="17"/>
      <c r="O518" s="13" t="s">
        <v>417</v>
      </c>
      <c r="P518" s="13">
        <v>1</v>
      </c>
    </row>
    <row r="519" spans="1:16">
      <c r="A519" s="10">
        <v>516</v>
      </c>
      <c r="B519" s="13" t="s">
        <v>884</v>
      </c>
      <c r="C519" s="13" t="str">
        <f>"513021194108080448"</f>
        <v>513021194108080448</v>
      </c>
      <c r="D519" s="13" t="str">
        <f t="shared" si="40"/>
        <v>513021********0448</v>
      </c>
      <c r="E519" s="13" t="str">
        <f t="shared" si="38"/>
        <v>女</v>
      </c>
      <c r="F519" s="17">
        <f ca="1" t="shared" ref="F519:F557" si="41">YEAR(TODAY())-MID(C519,7,4)</f>
        <v>83</v>
      </c>
      <c r="G519" s="13" t="s">
        <v>20</v>
      </c>
      <c r="H519" s="18">
        <v>190</v>
      </c>
      <c r="I519" s="13" t="s">
        <v>21</v>
      </c>
      <c r="J519" s="13" t="s">
        <v>683</v>
      </c>
      <c r="K519" s="13"/>
      <c r="L519" s="17"/>
      <c r="M519" s="13" t="s">
        <v>416</v>
      </c>
      <c r="N519" s="17"/>
      <c r="O519" s="13" t="s">
        <v>417</v>
      </c>
      <c r="P519" s="13">
        <v>1</v>
      </c>
    </row>
    <row r="520" spans="1:16">
      <c r="A520" s="10">
        <v>517</v>
      </c>
      <c r="B520" s="13" t="s">
        <v>885</v>
      </c>
      <c r="C520" s="13" t="str">
        <f>"513021194608240452"</f>
        <v>513021194608240452</v>
      </c>
      <c r="D520" s="13" t="str">
        <f t="shared" si="40"/>
        <v>513021********0452</v>
      </c>
      <c r="E520" s="13" t="str">
        <f t="shared" si="38"/>
        <v>男</v>
      </c>
      <c r="F520" s="17">
        <f ca="1" t="shared" si="41"/>
        <v>78</v>
      </c>
      <c r="G520" s="13" t="s">
        <v>20</v>
      </c>
      <c r="H520" s="18">
        <v>190</v>
      </c>
      <c r="I520" s="13" t="s">
        <v>21</v>
      </c>
      <c r="J520" s="13" t="s">
        <v>683</v>
      </c>
      <c r="K520" s="13"/>
      <c r="L520" s="17"/>
      <c r="M520" s="13" t="s">
        <v>416</v>
      </c>
      <c r="N520" s="17"/>
      <c r="O520" s="13" t="s">
        <v>417</v>
      </c>
      <c r="P520" s="13">
        <v>1</v>
      </c>
    </row>
    <row r="521" spans="1:16">
      <c r="A521" s="10">
        <v>518</v>
      </c>
      <c r="B521" s="13" t="s">
        <v>886</v>
      </c>
      <c r="C521" s="13" t="str">
        <f>"513021194012050447"</f>
        <v>513021194012050447</v>
      </c>
      <c r="D521" s="13" t="str">
        <f t="shared" si="40"/>
        <v>513021********0447</v>
      </c>
      <c r="E521" s="13" t="str">
        <f t="shared" si="38"/>
        <v>女</v>
      </c>
      <c r="F521" s="17">
        <f ca="1" t="shared" si="41"/>
        <v>84</v>
      </c>
      <c r="G521" s="13" t="s">
        <v>20</v>
      </c>
      <c r="H521" s="18">
        <v>190</v>
      </c>
      <c r="I521" s="13" t="s">
        <v>21</v>
      </c>
      <c r="J521" s="13" t="s">
        <v>683</v>
      </c>
      <c r="K521" s="13"/>
      <c r="L521" s="17"/>
      <c r="M521" s="13" t="s">
        <v>416</v>
      </c>
      <c r="N521" s="17"/>
      <c r="O521" s="13" t="s">
        <v>417</v>
      </c>
      <c r="P521" s="13">
        <v>1</v>
      </c>
    </row>
    <row r="522" spans="1:16">
      <c r="A522" s="10">
        <v>519</v>
      </c>
      <c r="B522" s="13" t="s">
        <v>465</v>
      </c>
      <c r="C522" s="13" t="s">
        <v>887</v>
      </c>
      <c r="D522" s="13" t="str">
        <f t="shared" si="40"/>
        <v>513021********046X</v>
      </c>
      <c r="E522" s="13" t="str">
        <f t="shared" si="38"/>
        <v>女</v>
      </c>
      <c r="F522" s="17">
        <f ca="1" t="shared" si="41"/>
        <v>73</v>
      </c>
      <c r="G522" s="13" t="s">
        <v>20</v>
      </c>
      <c r="H522" s="18">
        <v>190</v>
      </c>
      <c r="I522" s="13" t="s">
        <v>21</v>
      </c>
      <c r="J522" s="13" t="s">
        <v>683</v>
      </c>
      <c r="K522" s="13"/>
      <c r="L522" s="17"/>
      <c r="M522" s="13" t="s">
        <v>416</v>
      </c>
      <c r="N522" s="17"/>
      <c r="O522" s="13" t="s">
        <v>417</v>
      </c>
      <c r="P522" s="13">
        <v>1</v>
      </c>
    </row>
    <row r="523" spans="1:16">
      <c r="A523" s="10">
        <v>520</v>
      </c>
      <c r="B523" s="13" t="s">
        <v>888</v>
      </c>
      <c r="C523" s="13" t="str">
        <f>"513021194010040448"</f>
        <v>513021194010040448</v>
      </c>
      <c r="D523" s="13" t="str">
        <f t="shared" si="40"/>
        <v>513021********0448</v>
      </c>
      <c r="E523" s="13" t="str">
        <f t="shared" si="38"/>
        <v>女</v>
      </c>
      <c r="F523" s="17">
        <f ca="1" t="shared" si="41"/>
        <v>84</v>
      </c>
      <c r="G523" s="13" t="s">
        <v>20</v>
      </c>
      <c r="H523" s="18">
        <v>190</v>
      </c>
      <c r="I523" s="13" t="s">
        <v>21</v>
      </c>
      <c r="J523" s="13" t="s">
        <v>683</v>
      </c>
      <c r="K523" s="13"/>
      <c r="L523" s="17"/>
      <c r="M523" s="13" t="s">
        <v>416</v>
      </c>
      <c r="N523" s="17"/>
      <c r="O523" s="13" t="s">
        <v>417</v>
      </c>
      <c r="P523" s="13">
        <v>1</v>
      </c>
    </row>
    <row r="524" spans="1:16">
      <c r="A524" s="10">
        <v>521</v>
      </c>
      <c r="B524" s="13" t="s">
        <v>889</v>
      </c>
      <c r="C524" s="13" t="str">
        <f>"513021195401170447"</f>
        <v>513021195401170447</v>
      </c>
      <c r="D524" s="13" t="str">
        <f t="shared" si="40"/>
        <v>513021********0447</v>
      </c>
      <c r="E524" s="13" t="str">
        <f t="shared" si="38"/>
        <v>女</v>
      </c>
      <c r="F524" s="17">
        <f ca="1" t="shared" si="41"/>
        <v>70</v>
      </c>
      <c r="G524" s="13" t="s">
        <v>20</v>
      </c>
      <c r="H524" s="18">
        <v>190</v>
      </c>
      <c r="I524" s="13" t="s">
        <v>21</v>
      </c>
      <c r="J524" s="13" t="s">
        <v>683</v>
      </c>
      <c r="K524" s="13"/>
      <c r="L524" s="17"/>
      <c r="M524" s="13" t="s">
        <v>416</v>
      </c>
      <c r="N524" s="17"/>
      <c r="O524" s="13" t="s">
        <v>417</v>
      </c>
      <c r="P524" s="13">
        <v>1</v>
      </c>
    </row>
    <row r="525" spans="1:16">
      <c r="A525" s="10">
        <v>522</v>
      </c>
      <c r="B525" s="13" t="s">
        <v>890</v>
      </c>
      <c r="C525" s="13" t="str">
        <f>"513021195508270448"</f>
        <v>513021195508270448</v>
      </c>
      <c r="D525" s="13" t="str">
        <f t="shared" si="40"/>
        <v>513021********0448</v>
      </c>
      <c r="E525" s="13" t="str">
        <f t="shared" si="38"/>
        <v>女</v>
      </c>
      <c r="F525" s="17">
        <f ca="1" t="shared" si="41"/>
        <v>69</v>
      </c>
      <c r="G525" s="13" t="s">
        <v>20</v>
      </c>
      <c r="H525" s="18">
        <v>190</v>
      </c>
      <c r="I525" s="13" t="s">
        <v>21</v>
      </c>
      <c r="J525" s="13" t="s">
        <v>683</v>
      </c>
      <c r="K525" s="13"/>
      <c r="L525" s="17"/>
      <c r="M525" s="13" t="s">
        <v>416</v>
      </c>
      <c r="N525" s="17"/>
      <c r="O525" s="13" t="s">
        <v>417</v>
      </c>
      <c r="P525" s="13">
        <v>1</v>
      </c>
    </row>
    <row r="526" spans="1:16">
      <c r="A526" s="10">
        <v>523</v>
      </c>
      <c r="B526" s="13" t="s">
        <v>891</v>
      </c>
      <c r="C526" s="13" t="str">
        <f>"513021195011080446"</f>
        <v>513021195011080446</v>
      </c>
      <c r="D526" s="13" t="str">
        <f t="shared" si="40"/>
        <v>513021********0446</v>
      </c>
      <c r="E526" s="13" t="str">
        <f t="shared" si="38"/>
        <v>女</v>
      </c>
      <c r="F526" s="17">
        <f ca="1" t="shared" si="41"/>
        <v>74</v>
      </c>
      <c r="G526" s="13" t="s">
        <v>20</v>
      </c>
      <c r="H526" s="18">
        <v>190</v>
      </c>
      <c r="I526" s="13" t="s">
        <v>21</v>
      </c>
      <c r="J526" s="13" t="s">
        <v>683</v>
      </c>
      <c r="K526" s="13"/>
      <c r="L526" s="17"/>
      <c r="M526" s="13" t="s">
        <v>416</v>
      </c>
      <c r="N526" s="17"/>
      <c r="O526" s="13" t="s">
        <v>417</v>
      </c>
      <c r="P526" s="13">
        <v>1</v>
      </c>
    </row>
    <row r="527" spans="1:16">
      <c r="A527" s="10">
        <v>524</v>
      </c>
      <c r="B527" s="13" t="s">
        <v>892</v>
      </c>
      <c r="C527" s="13" t="str">
        <f>"513021195205180453"</f>
        <v>513021195205180453</v>
      </c>
      <c r="D527" s="13" t="str">
        <f t="shared" si="40"/>
        <v>513021********0453</v>
      </c>
      <c r="E527" s="13" t="str">
        <f t="shared" si="38"/>
        <v>男</v>
      </c>
      <c r="F527" s="17">
        <f ca="1" t="shared" si="41"/>
        <v>72</v>
      </c>
      <c r="G527" s="13" t="s">
        <v>20</v>
      </c>
      <c r="H527" s="18">
        <v>190</v>
      </c>
      <c r="I527" s="13" t="s">
        <v>21</v>
      </c>
      <c r="J527" s="13" t="s">
        <v>683</v>
      </c>
      <c r="K527" s="13"/>
      <c r="L527" s="17"/>
      <c r="M527" s="13" t="s">
        <v>416</v>
      </c>
      <c r="N527" s="17"/>
      <c r="O527" s="13" t="s">
        <v>417</v>
      </c>
      <c r="P527" s="13">
        <v>1</v>
      </c>
    </row>
    <row r="528" spans="1:16">
      <c r="A528" s="10">
        <v>525</v>
      </c>
      <c r="B528" s="13" t="s">
        <v>893</v>
      </c>
      <c r="C528" s="13" t="str">
        <f>"513021195312190446"</f>
        <v>513021195312190446</v>
      </c>
      <c r="D528" s="13" t="str">
        <f t="shared" si="40"/>
        <v>513021********0446</v>
      </c>
      <c r="E528" s="13" t="str">
        <f t="shared" si="38"/>
        <v>女</v>
      </c>
      <c r="F528" s="17">
        <f ca="1" t="shared" si="41"/>
        <v>71</v>
      </c>
      <c r="G528" s="13" t="s">
        <v>20</v>
      </c>
      <c r="H528" s="18">
        <v>190</v>
      </c>
      <c r="I528" s="13" t="s">
        <v>21</v>
      </c>
      <c r="J528" s="13" t="s">
        <v>683</v>
      </c>
      <c r="K528" s="13"/>
      <c r="L528" s="17"/>
      <c r="M528" s="13" t="s">
        <v>416</v>
      </c>
      <c r="N528" s="17"/>
      <c r="O528" s="13" t="s">
        <v>417</v>
      </c>
      <c r="P528" s="13">
        <v>1</v>
      </c>
    </row>
    <row r="529" spans="1:16">
      <c r="A529" s="10">
        <v>526</v>
      </c>
      <c r="B529" s="13" t="s">
        <v>198</v>
      </c>
      <c r="C529" s="13" t="str">
        <f>"513021195702280447"</f>
        <v>513021195702280447</v>
      </c>
      <c r="D529" s="13" t="str">
        <f t="shared" si="40"/>
        <v>513021********0447</v>
      </c>
      <c r="E529" s="13" t="str">
        <f t="shared" si="38"/>
        <v>女</v>
      </c>
      <c r="F529" s="17">
        <f ca="1" t="shared" si="41"/>
        <v>67</v>
      </c>
      <c r="G529" s="13" t="s">
        <v>20</v>
      </c>
      <c r="H529" s="18">
        <v>190</v>
      </c>
      <c r="I529" s="13" t="s">
        <v>21</v>
      </c>
      <c r="J529" s="13" t="s">
        <v>683</v>
      </c>
      <c r="K529" s="13"/>
      <c r="L529" s="17"/>
      <c r="M529" s="13" t="s">
        <v>416</v>
      </c>
      <c r="N529" s="17"/>
      <c r="O529" s="13" t="s">
        <v>417</v>
      </c>
      <c r="P529" s="13">
        <v>1</v>
      </c>
    </row>
    <row r="530" spans="1:16">
      <c r="A530" s="10">
        <v>527</v>
      </c>
      <c r="B530" s="13" t="s">
        <v>894</v>
      </c>
      <c r="C530" s="13" t="str">
        <f>"513021195501200447"</f>
        <v>513021195501200447</v>
      </c>
      <c r="D530" s="13" t="str">
        <f t="shared" si="40"/>
        <v>513021********0447</v>
      </c>
      <c r="E530" s="13" t="str">
        <f t="shared" si="38"/>
        <v>女</v>
      </c>
      <c r="F530" s="17">
        <f ca="1" t="shared" si="41"/>
        <v>69</v>
      </c>
      <c r="G530" s="13" t="s">
        <v>20</v>
      </c>
      <c r="H530" s="18">
        <v>190</v>
      </c>
      <c r="I530" s="13" t="s">
        <v>21</v>
      </c>
      <c r="J530" s="13" t="s">
        <v>683</v>
      </c>
      <c r="K530" s="13"/>
      <c r="L530" s="17"/>
      <c r="M530" s="13" t="s">
        <v>416</v>
      </c>
      <c r="N530" s="17"/>
      <c r="O530" s="13" t="s">
        <v>417</v>
      </c>
      <c r="P530" s="13">
        <v>1</v>
      </c>
    </row>
    <row r="531" spans="1:16">
      <c r="A531" s="10">
        <v>528</v>
      </c>
      <c r="B531" s="13" t="s">
        <v>895</v>
      </c>
      <c r="C531" s="13" t="str">
        <f>"513021195202220464"</f>
        <v>513021195202220464</v>
      </c>
      <c r="D531" s="13" t="str">
        <f t="shared" si="40"/>
        <v>513021********0464</v>
      </c>
      <c r="E531" s="13" t="str">
        <f t="shared" si="38"/>
        <v>女</v>
      </c>
      <c r="F531" s="17">
        <f ca="1" t="shared" si="41"/>
        <v>72</v>
      </c>
      <c r="G531" s="13" t="s">
        <v>20</v>
      </c>
      <c r="H531" s="18">
        <v>190</v>
      </c>
      <c r="I531" s="13" t="s">
        <v>21</v>
      </c>
      <c r="J531" s="13" t="s">
        <v>683</v>
      </c>
      <c r="K531" s="13"/>
      <c r="L531" s="17"/>
      <c r="M531" s="13" t="s">
        <v>416</v>
      </c>
      <c r="N531" s="17"/>
      <c r="O531" s="13" t="s">
        <v>417</v>
      </c>
      <c r="P531" s="13">
        <v>1</v>
      </c>
    </row>
    <row r="532" spans="1:16">
      <c r="A532" s="10">
        <v>529</v>
      </c>
      <c r="B532" s="13" t="s">
        <v>896</v>
      </c>
      <c r="C532" s="13" t="str">
        <f>"513021193410070449"</f>
        <v>513021193410070449</v>
      </c>
      <c r="D532" s="13" t="str">
        <f t="shared" si="40"/>
        <v>513021********0449</v>
      </c>
      <c r="E532" s="13" t="str">
        <f t="shared" si="38"/>
        <v>女</v>
      </c>
      <c r="F532" s="17">
        <f ca="1" t="shared" si="41"/>
        <v>90</v>
      </c>
      <c r="G532" s="13" t="s">
        <v>20</v>
      </c>
      <c r="H532" s="18">
        <v>190</v>
      </c>
      <c r="I532" s="13" t="s">
        <v>21</v>
      </c>
      <c r="J532" s="13" t="s">
        <v>683</v>
      </c>
      <c r="K532" s="13"/>
      <c r="L532" s="17"/>
      <c r="M532" s="13" t="s">
        <v>416</v>
      </c>
      <c r="N532" s="17"/>
      <c r="O532" s="13" t="s">
        <v>417</v>
      </c>
      <c r="P532" s="13">
        <v>1</v>
      </c>
    </row>
    <row r="533" spans="1:16">
      <c r="A533" s="10">
        <v>530</v>
      </c>
      <c r="B533" s="13" t="s">
        <v>897</v>
      </c>
      <c r="C533" s="13" t="str">
        <f>"513021193612010479"</f>
        <v>513021193612010479</v>
      </c>
      <c r="D533" s="13" t="str">
        <f t="shared" si="40"/>
        <v>513021********0479</v>
      </c>
      <c r="E533" s="13" t="str">
        <f t="shared" si="38"/>
        <v>男</v>
      </c>
      <c r="F533" s="17">
        <f ca="1" t="shared" si="41"/>
        <v>88</v>
      </c>
      <c r="G533" s="13" t="s">
        <v>20</v>
      </c>
      <c r="H533" s="18">
        <v>190</v>
      </c>
      <c r="I533" s="13" t="s">
        <v>21</v>
      </c>
      <c r="J533" s="13" t="s">
        <v>683</v>
      </c>
      <c r="K533" s="13"/>
      <c r="L533" s="17"/>
      <c r="M533" s="13" t="s">
        <v>416</v>
      </c>
      <c r="N533" s="17"/>
      <c r="O533" s="13" t="s">
        <v>417</v>
      </c>
      <c r="P533" s="13">
        <v>1</v>
      </c>
    </row>
    <row r="534" spans="1:16">
      <c r="A534" s="10">
        <v>531</v>
      </c>
      <c r="B534" s="13" t="s">
        <v>898</v>
      </c>
      <c r="C534" s="13" t="str">
        <f>"513021194311010445"</f>
        <v>513021194311010445</v>
      </c>
      <c r="D534" s="13" t="str">
        <f t="shared" si="40"/>
        <v>513021********0445</v>
      </c>
      <c r="E534" s="13" t="str">
        <f t="shared" si="38"/>
        <v>女</v>
      </c>
      <c r="F534" s="17">
        <f ca="1" t="shared" si="41"/>
        <v>81</v>
      </c>
      <c r="G534" s="13" t="s">
        <v>20</v>
      </c>
      <c r="H534" s="18">
        <v>190</v>
      </c>
      <c r="I534" s="13" t="s">
        <v>21</v>
      </c>
      <c r="J534" s="13" t="s">
        <v>683</v>
      </c>
      <c r="K534" s="13"/>
      <c r="L534" s="17"/>
      <c r="M534" s="13" t="s">
        <v>416</v>
      </c>
      <c r="N534" s="17"/>
      <c r="O534" s="13" t="s">
        <v>417</v>
      </c>
      <c r="P534" s="13">
        <v>1</v>
      </c>
    </row>
    <row r="535" spans="1:16">
      <c r="A535" s="10">
        <v>532</v>
      </c>
      <c r="B535" s="13" t="s">
        <v>899</v>
      </c>
      <c r="C535" s="13" t="str">
        <f>"513021195009280465"</f>
        <v>513021195009280465</v>
      </c>
      <c r="D535" s="13" t="str">
        <f t="shared" si="40"/>
        <v>513021********0465</v>
      </c>
      <c r="E535" s="13" t="str">
        <f t="shared" si="38"/>
        <v>女</v>
      </c>
      <c r="F535" s="17">
        <f ca="1" t="shared" si="41"/>
        <v>74</v>
      </c>
      <c r="G535" s="13" t="s">
        <v>20</v>
      </c>
      <c r="H535" s="18">
        <v>190</v>
      </c>
      <c r="I535" s="13" t="s">
        <v>21</v>
      </c>
      <c r="J535" s="13" t="s">
        <v>683</v>
      </c>
      <c r="K535" s="13"/>
      <c r="L535" s="17" t="str">
        <f>VLOOKUP(C535,[1]Sheet1!$B$2:$U$630,20,0)</f>
        <v>视力二级;</v>
      </c>
      <c r="M535" s="13" t="s">
        <v>416</v>
      </c>
      <c r="N535" s="17"/>
      <c r="O535" s="13" t="s">
        <v>417</v>
      </c>
      <c r="P535" s="13">
        <v>1</v>
      </c>
    </row>
    <row r="536" spans="1:16">
      <c r="A536" s="10">
        <v>533</v>
      </c>
      <c r="B536" s="13" t="s">
        <v>900</v>
      </c>
      <c r="C536" s="13" t="s">
        <v>901</v>
      </c>
      <c r="D536" s="13" t="str">
        <f t="shared" si="40"/>
        <v>513021********044X</v>
      </c>
      <c r="E536" s="13" t="str">
        <f t="shared" si="38"/>
        <v>女</v>
      </c>
      <c r="F536" s="17">
        <f ca="1" t="shared" si="41"/>
        <v>79</v>
      </c>
      <c r="G536" s="13" t="s">
        <v>20</v>
      </c>
      <c r="H536" s="18">
        <v>190</v>
      </c>
      <c r="I536" s="13" t="s">
        <v>21</v>
      </c>
      <c r="J536" s="13" t="s">
        <v>683</v>
      </c>
      <c r="K536" s="13"/>
      <c r="L536" s="17"/>
      <c r="M536" s="13" t="s">
        <v>416</v>
      </c>
      <c r="N536" s="17"/>
      <c r="O536" s="13" t="s">
        <v>417</v>
      </c>
      <c r="P536" s="13">
        <v>1</v>
      </c>
    </row>
    <row r="537" spans="1:16">
      <c r="A537" s="10">
        <v>534</v>
      </c>
      <c r="B537" s="13" t="s">
        <v>902</v>
      </c>
      <c r="C537" s="13" t="s">
        <v>903</v>
      </c>
      <c r="D537" s="13" t="str">
        <f t="shared" si="40"/>
        <v>513021********044X</v>
      </c>
      <c r="E537" s="13" t="str">
        <f t="shared" si="38"/>
        <v>女</v>
      </c>
      <c r="F537" s="17">
        <f ca="1" t="shared" si="41"/>
        <v>73</v>
      </c>
      <c r="G537" s="13" t="s">
        <v>20</v>
      </c>
      <c r="H537" s="18">
        <v>190</v>
      </c>
      <c r="I537" s="13" t="s">
        <v>21</v>
      </c>
      <c r="J537" s="13" t="s">
        <v>683</v>
      </c>
      <c r="K537" s="13"/>
      <c r="L537" s="17" t="str">
        <f>VLOOKUP(C537,[1]Sheet1!$B$2:$U$630,20,0)</f>
        <v>肢体四级;</v>
      </c>
      <c r="M537" s="13" t="s">
        <v>416</v>
      </c>
      <c r="N537" s="17"/>
      <c r="O537" s="13" t="s">
        <v>417</v>
      </c>
      <c r="P537" s="13">
        <v>1</v>
      </c>
    </row>
    <row r="538" spans="1:16">
      <c r="A538" s="10">
        <v>535</v>
      </c>
      <c r="B538" s="13" t="s">
        <v>904</v>
      </c>
      <c r="C538" s="13" t="str">
        <f>"513021195010270440"</f>
        <v>513021195010270440</v>
      </c>
      <c r="D538" s="13" t="str">
        <f t="shared" si="40"/>
        <v>513021********0440</v>
      </c>
      <c r="E538" s="13" t="str">
        <f t="shared" si="38"/>
        <v>女</v>
      </c>
      <c r="F538" s="17">
        <f ca="1" t="shared" si="41"/>
        <v>74</v>
      </c>
      <c r="G538" s="13" t="s">
        <v>20</v>
      </c>
      <c r="H538" s="18">
        <v>190</v>
      </c>
      <c r="I538" s="13" t="s">
        <v>21</v>
      </c>
      <c r="J538" s="13" t="s">
        <v>683</v>
      </c>
      <c r="K538" s="13"/>
      <c r="L538" s="17" t="str">
        <f>VLOOKUP(C538,[1]Sheet1!$B$2:$U$630,20,0)</f>
        <v>听力三级;</v>
      </c>
      <c r="M538" s="13" t="s">
        <v>416</v>
      </c>
      <c r="N538" s="17"/>
      <c r="O538" s="13" t="s">
        <v>417</v>
      </c>
      <c r="P538" s="13">
        <v>1</v>
      </c>
    </row>
    <row r="539" spans="1:16">
      <c r="A539" s="10">
        <v>536</v>
      </c>
      <c r="B539" s="13" t="s">
        <v>905</v>
      </c>
      <c r="C539" s="13" t="str">
        <f>"513021193912270440"</f>
        <v>513021193912270440</v>
      </c>
      <c r="D539" s="13" t="str">
        <f t="shared" si="40"/>
        <v>513021********0440</v>
      </c>
      <c r="E539" s="13" t="str">
        <f t="shared" si="38"/>
        <v>女</v>
      </c>
      <c r="F539" s="17">
        <f ca="1" t="shared" si="41"/>
        <v>85</v>
      </c>
      <c r="G539" s="13" t="s">
        <v>20</v>
      </c>
      <c r="H539" s="18">
        <v>190</v>
      </c>
      <c r="I539" s="13" t="s">
        <v>21</v>
      </c>
      <c r="J539" s="13" t="s">
        <v>683</v>
      </c>
      <c r="K539" s="13"/>
      <c r="L539" s="17"/>
      <c r="M539" s="13" t="s">
        <v>416</v>
      </c>
      <c r="N539" s="17"/>
      <c r="O539" s="13" t="s">
        <v>417</v>
      </c>
      <c r="P539" s="13">
        <v>1</v>
      </c>
    </row>
    <row r="540" spans="1:16">
      <c r="A540" s="10">
        <v>537</v>
      </c>
      <c r="B540" s="13" t="s">
        <v>906</v>
      </c>
      <c r="C540" s="13" t="s">
        <v>907</v>
      </c>
      <c r="D540" s="13" t="str">
        <f t="shared" si="40"/>
        <v>513021********044X</v>
      </c>
      <c r="E540" s="13" t="str">
        <f t="shared" si="38"/>
        <v>女</v>
      </c>
      <c r="F540" s="17">
        <f ca="1" t="shared" si="41"/>
        <v>88</v>
      </c>
      <c r="G540" s="13" t="s">
        <v>20</v>
      </c>
      <c r="H540" s="18">
        <v>190</v>
      </c>
      <c r="I540" s="13" t="s">
        <v>21</v>
      </c>
      <c r="J540" s="13" t="s">
        <v>683</v>
      </c>
      <c r="K540" s="13"/>
      <c r="L540" s="17"/>
      <c r="M540" s="13" t="s">
        <v>416</v>
      </c>
      <c r="N540" s="17"/>
      <c r="O540" s="13" t="s">
        <v>417</v>
      </c>
      <c r="P540" s="13">
        <v>1</v>
      </c>
    </row>
    <row r="541" spans="1:16">
      <c r="A541" s="10">
        <v>538</v>
      </c>
      <c r="B541" s="13" t="s">
        <v>908</v>
      </c>
      <c r="C541" s="13" t="str">
        <f>"513021196702250461"</f>
        <v>513021196702250461</v>
      </c>
      <c r="D541" s="13" t="str">
        <f t="shared" si="40"/>
        <v>513021********0461</v>
      </c>
      <c r="E541" s="13" t="str">
        <f t="shared" si="38"/>
        <v>女</v>
      </c>
      <c r="F541" s="17">
        <f ca="1" t="shared" si="41"/>
        <v>57</v>
      </c>
      <c r="G541" s="13" t="s">
        <v>20</v>
      </c>
      <c r="H541" s="18">
        <v>190</v>
      </c>
      <c r="I541" s="13" t="s">
        <v>21</v>
      </c>
      <c r="J541" s="13" t="s">
        <v>683</v>
      </c>
      <c r="K541" s="13"/>
      <c r="L541" s="17"/>
      <c r="M541" s="13" t="s">
        <v>416</v>
      </c>
      <c r="N541" s="17"/>
      <c r="O541" s="13" t="s">
        <v>417</v>
      </c>
      <c r="P541" s="13">
        <v>1</v>
      </c>
    </row>
    <row r="542" spans="1:16">
      <c r="A542" s="10">
        <v>539</v>
      </c>
      <c r="B542" s="13" t="s">
        <v>909</v>
      </c>
      <c r="C542" s="13" t="str">
        <f>"513021192711200441"</f>
        <v>513021192711200441</v>
      </c>
      <c r="D542" s="13" t="str">
        <f t="shared" si="40"/>
        <v>513021********0441</v>
      </c>
      <c r="E542" s="13" t="str">
        <f t="shared" si="38"/>
        <v>女</v>
      </c>
      <c r="F542" s="17">
        <f ca="1" t="shared" si="41"/>
        <v>97</v>
      </c>
      <c r="G542" s="13" t="s">
        <v>20</v>
      </c>
      <c r="H542" s="18">
        <v>190</v>
      </c>
      <c r="I542" s="13" t="s">
        <v>21</v>
      </c>
      <c r="J542" s="13" t="s">
        <v>683</v>
      </c>
      <c r="K542" s="13"/>
      <c r="L542" s="17"/>
      <c r="M542" s="13" t="s">
        <v>416</v>
      </c>
      <c r="N542" s="17"/>
      <c r="O542" s="13" t="s">
        <v>417</v>
      </c>
      <c r="P542" s="13">
        <v>1</v>
      </c>
    </row>
    <row r="543" spans="1:16">
      <c r="A543" s="10">
        <v>540</v>
      </c>
      <c r="B543" s="13" t="s">
        <v>910</v>
      </c>
      <c r="C543" s="13" t="str">
        <f>"513021197001270042"</f>
        <v>513021197001270042</v>
      </c>
      <c r="D543" s="13" t="str">
        <f t="shared" si="40"/>
        <v>513021********0042</v>
      </c>
      <c r="E543" s="13" t="str">
        <f t="shared" ref="E543:E551" si="42">IF(MOD(MID(C543,17,1),2)=1,"男","女")</f>
        <v>女</v>
      </c>
      <c r="F543" s="17">
        <f ca="1" t="shared" si="41"/>
        <v>54</v>
      </c>
      <c r="G543" s="13" t="s">
        <v>20</v>
      </c>
      <c r="H543" s="18">
        <v>190</v>
      </c>
      <c r="I543" s="13" t="s">
        <v>21</v>
      </c>
      <c r="J543" s="13" t="s">
        <v>683</v>
      </c>
      <c r="K543" s="13"/>
      <c r="L543" s="17"/>
      <c r="M543" s="13" t="s">
        <v>416</v>
      </c>
      <c r="N543" s="17"/>
      <c r="O543" s="13" t="s">
        <v>417</v>
      </c>
      <c r="P543" s="13">
        <v>1</v>
      </c>
    </row>
    <row r="544" spans="1:16">
      <c r="A544" s="10">
        <v>541</v>
      </c>
      <c r="B544" s="13" t="s">
        <v>911</v>
      </c>
      <c r="C544" s="13" t="str">
        <f>"513021197311120461"</f>
        <v>513021197311120461</v>
      </c>
      <c r="D544" s="13" t="str">
        <f t="shared" si="40"/>
        <v>513021********0461</v>
      </c>
      <c r="E544" s="13" t="str">
        <f t="shared" si="42"/>
        <v>女</v>
      </c>
      <c r="F544" s="17">
        <f ca="1" t="shared" si="41"/>
        <v>51</v>
      </c>
      <c r="G544" s="13" t="s">
        <v>20</v>
      </c>
      <c r="H544" s="18">
        <v>190</v>
      </c>
      <c r="I544" s="13" t="s">
        <v>21</v>
      </c>
      <c r="J544" s="13" t="s">
        <v>683</v>
      </c>
      <c r="K544" s="13"/>
      <c r="L544" s="17"/>
      <c r="M544" s="13" t="s">
        <v>416</v>
      </c>
      <c r="N544" s="17"/>
      <c r="O544" s="13" t="s">
        <v>417</v>
      </c>
      <c r="P544" s="13">
        <v>1</v>
      </c>
    </row>
    <row r="545" spans="1:16">
      <c r="A545" s="10">
        <v>542</v>
      </c>
      <c r="B545" s="13" t="s">
        <v>912</v>
      </c>
      <c r="C545" s="13" t="str">
        <f>"513021195106270445"</f>
        <v>513021195106270445</v>
      </c>
      <c r="D545" s="13" t="str">
        <f t="shared" si="40"/>
        <v>513021********0445</v>
      </c>
      <c r="E545" s="13" t="str">
        <f t="shared" si="42"/>
        <v>女</v>
      </c>
      <c r="F545" s="17">
        <f ca="1" t="shared" si="41"/>
        <v>73</v>
      </c>
      <c r="G545" s="13" t="s">
        <v>20</v>
      </c>
      <c r="H545" s="18">
        <v>190</v>
      </c>
      <c r="I545" s="13" t="s">
        <v>21</v>
      </c>
      <c r="J545" s="13" t="s">
        <v>683</v>
      </c>
      <c r="K545" s="13"/>
      <c r="L545" s="17"/>
      <c r="M545" s="13" t="s">
        <v>416</v>
      </c>
      <c r="N545" s="17"/>
      <c r="O545" s="13" t="s">
        <v>417</v>
      </c>
      <c r="P545" s="13">
        <v>1</v>
      </c>
    </row>
    <row r="546" spans="1:16">
      <c r="A546" s="10">
        <v>543</v>
      </c>
      <c r="B546" s="13" t="s">
        <v>913</v>
      </c>
      <c r="C546" s="13" t="s">
        <v>914</v>
      </c>
      <c r="D546" s="13" t="str">
        <f t="shared" si="40"/>
        <v>513021********044X</v>
      </c>
      <c r="E546" s="13" t="str">
        <f t="shared" si="42"/>
        <v>女</v>
      </c>
      <c r="F546" s="17">
        <f ca="1" t="shared" si="41"/>
        <v>67</v>
      </c>
      <c r="G546" s="13" t="s">
        <v>20</v>
      </c>
      <c r="H546" s="18">
        <v>190</v>
      </c>
      <c r="I546" s="13" t="s">
        <v>21</v>
      </c>
      <c r="J546" s="13" t="s">
        <v>683</v>
      </c>
      <c r="K546" s="13"/>
      <c r="L546" s="17"/>
      <c r="M546" s="13" t="s">
        <v>416</v>
      </c>
      <c r="N546" s="17"/>
      <c r="O546" s="13" t="s">
        <v>417</v>
      </c>
      <c r="P546" s="13">
        <v>1</v>
      </c>
    </row>
    <row r="547" spans="1:16">
      <c r="A547" s="10">
        <v>544</v>
      </c>
      <c r="B547" s="13" t="s">
        <v>915</v>
      </c>
      <c r="C547" s="13" t="s">
        <v>916</v>
      </c>
      <c r="D547" s="13" t="str">
        <f t="shared" si="40"/>
        <v>513021********047X</v>
      </c>
      <c r="E547" s="13" t="str">
        <f t="shared" si="42"/>
        <v>男</v>
      </c>
      <c r="F547" s="17">
        <f ca="1" t="shared" si="41"/>
        <v>81</v>
      </c>
      <c r="G547" s="13" t="s">
        <v>20</v>
      </c>
      <c r="H547" s="18">
        <v>190</v>
      </c>
      <c r="I547" s="13" t="s">
        <v>21</v>
      </c>
      <c r="J547" s="13" t="s">
        <v>683</v>
      </c>
      <c r="K547" s="13"/>
      <c r="L547" s="17"/>
      <c r="M547" s="13" t="s">
        <v>416</v>
      </c>
      <c r="N547" s="17"/>
      <c r="O547" s="13" t="s">
        <v>417</v>
      </c>
      <c r="P547" s="13">
        <v>1</v>
      </c>
    </row>
    <row r="548" spans="1:16">
      <c r="A548" s="10">
        <v>545</v>
      </c>
      <c r="B548" s="13" t="s">
        <v>917</v>
      </c>
      <c r="C548" s="13" t="str">
        <f>"513021194402220456"</f>
        <v>513021194402220456</v>
      </c>
      <c r="D548" s="13" t="str">
        <f t="shared" si="40"/>
        <v>513021********0456</v>
      </c>
      <c r="E548" s="13" t="str">
        <f t="shared" si="42"/>
        <v>男</v>
      </c>
      <c r="F548" s="17">
        <f ca="1" t="shared" si="41"/>
        <v>80</v>
      </c>
      <c r="G548" s="13" t="s">
        <v>20</v>
      </c>
      <c r="H548" s="18">
        <v>190</v>
      </c>
      <c r="I548" s="13" t="s">
        <v>21</v>
      </c>
      <c r="J548" s="13" t="s">
        <v>683</v>
      </c>
      <c r="K548" s="13"/>
      <c r="L548" s="17"/>
      <c r="M548" s="13" t="s">
        <v>416</v>
      </c>
      <c r="N548" s="17"/>
      <c r="O548" s="13" t="s">
        <v>417</v>
      </c>
      <c r="P548" s="13">
        <v>1</v>
      </c>
    </row>
    <row r="549" spans="1:16">
      <c r="A549" s="10">
        <v>546</v>
      </c>
      <c r="B549" s="13" t="s">
        <v>918</v>
      </c>
      <c r="C549" s="13" t="str">
        <f>"513021193605030447"</f>
        <v>513021193605030447</v>
      </c>
      <c r="D549" s="13" t="str">
        <f t="shared" si="40"/>
        <v>513021********0447</v>
      </c>
      <c r="E549" s="13" t="str">
        <f t="shared" si="42"/>
        <v>女</v>
      </c>
      <c r="F549" s="17">
        <f ca="1" t="shared" si="41"/>
        <v>88</v>
      </c>
      <c r="G549" s="13" t="s">
        <v>20</v>
      </c>
      <c r="H549" s="18">
        <v>190</v>
      </c>
      <c r="I549" s="13" t="s">
        <v>21</v>
      </c>
      <c r="J549" s="13" t="s">
        <v>683</v>
      </c>
      <c r="K549" s="13"/>
      <c r="L549" s="17"/>
      <c r="M549" s="13" t="s">
        <v>416</v>
      </c>
      <c r="N549" s="17"/>
      <c r="O549" s="13" t="s">
        <v>417</v>
      </c>
      <c r="P549" s="13">
        <v>1</v>
      </c>
    </row>
    <row r="550" spans="1:16">
      <c r="A550" s="10">
        <v>547</v>
      </c>
      <c r="B550" s="13" t="s">
        <v>919</v>
      </c>
      <c r="C550" s="13" t="str">
        <f>"513021193609240441"</f>
        <v>513021193609240441</v>
      </c>
      <c r="D550" s="13" t="str">
        <f t="shared" si="40"/>
        <v>513021********0441</v>
      </c>
      <c r="E550" s="13" t="str">
        <f t="shared" si="42"/>
        <v>女</v>
      </c>
      <c r="F550" s="17">
        <f ca="1" t="shared" si="41"/>
        <v>88</v>
      </c>
      <c r="G550" s="13" t="s">
        <v>20</v>
      </c>
      <c r="H550" s="18">
        <v>190</v>
      </c>
      <c r="I550" s="13" t="s">
        <v>21</v>
      </c>
      <c r="J550" s="13" t="s">
        <v>683</v>
      </c>
      <c r="K550" s="13"/>
      <c r="L550" s="17"/>
      <c r="M550" s="13" t="s">
        <v>416</v>
      </c>
      <c r="N550" s="17"/>
      <c r="O550" s="13" t="s">
        <v>417</v>
      </c>
      <c r="P550" s="13">
        <v>1</v>
      </c>
    </row>
    <row r="551" spans="1:16">
      <c r="A551" s="10">
        <v>548</v>
      </c>
      <c r="B551" s="13" t="s">
        <v>920</v>
      </c>
      <c r="C551" s="13" t="s">
        <v>921</v>
      </c>
      <c r="D551" s="13" t="str">
        <f t="shared" si="40"/>
        <v>513021********044X</v>
      </c>
      <c r="E551" s="13" t="str">
        <f t="shared" si="42"/>
        <v>女</v>
      </c>
      <c r="F551" s="17">
        <f ca="1" t="shared" si="41"/>
        <v>78</v>
      </c>
      <c r="G551" s="13" t="s">
        <v>20</v>
      </c>
      <c r="H551" s="18">
        <v>190</v>
      </c>
      <c r="I551" s="13" t="s">
        <v>21</v>
      </c>
      <c r="J551" s="13" t="s">
        <v>683</v>
      </c>
      <c r="K551" s="13"/>
      <c r="L551" s="17"/>
      <c r="M551" s="13" t="s">
        <v>416</v>
      </c>
      <c r="N551" s="17"/>
      <c r="O551" s="13" t="s">
        <v>417</v>
      </c>
      <c r="P551" s="13">
        <v>1</v>
      </c>
    </row>
    <row r="552" spans="1:16">
      <c r="A552" s="10">
        <v>549</v>
      </c>
      <c r="B552" s="13" t="s">
        <v>922</v>
      </c>
      <c r="C552" s="13" t="str">
        <f>"513021197310200451"</f>
        <v>513021197310200451</v>
      </c>
      <c r="D552" s="13" t="str">
        <f t="shared" si="40"/>
        <v>513021********0451</v>
      </c>
      <c r="E552" s="13" t="str">
        <f t="shared" ref="E552:E563" si="43">IF(MOD(MID(C552,17,1),2)=1,"男","女")</f>
        <v>男</v>
      </c>
      <c r="F552" s="17">
        <f ca="1" t="shared" si="41"/>
        <v>51</v>
      </c>
      <c r="G552" s="13" t="s">
        <v>20</v>
      </c>
      <c r="H552" s="18">
        <v>190</v>
      </c>
      <c r="I552" s="13" t="s">
        <v>21</v>
      </c>
      <c r="J552" s="13" t="s">
        <v>683</v>
      </c>
      <c r="K552" s="13"/>
      <c r="L552" s="17" t="str">
        <f>VLOOKUP(C552,[1]Sheet1!$B$2:$U$630,20,0)</f>
        <v>肢体四级;</v>
      </c>
      <c r="M552" s="13" t="s">
        <v>416</v>
      </c>
      <c r="N552" s="17"/>
      <c r="O552" s="13" t="s">
        <v>417</v>
      </c>
      <c r="P552" s="13">
        <v>1</v>
      </c>
    </row>
    <row r="553" spans="1:16">
      <c r="A553" s="10">
        <v>550</v>
      </c>
      <c r="B553" s="13" t="s">
        <v>923</v>
      </c>
      <c r="C553" s="13" t="str">
        <f>"513021196506120459"</f>
        <v>513021196506120459</v>
      </c>
      <c r="D553" s="13" t="str">
        <f t="shared" si="40"/>
        <v>513021********0459</v>
      </c>
      <c r="E553" s="13" t="str">
        <f t="shared" si="43"/>
        <v>男</v>
      </c>
      <c r="F553" s="17">
        <f ca="1" t="shared" si="41"/>
        <v>59</v>
      </c>
      <c r="G553" s="13" t="s">
        <v>20</v>
      </c>
      <c r="H553" s="18">
        <v>190</v>
      </c>
      <c r="I553" s="13" t="s">
        <v>21</v>
      </c>
      <c r="J553" s="13" t="s">
        <v>683</v>
      </c>
      <c r="K553" s="13"/>
      <c r="L553" s="17"/>
      <c r="M553" s="13" t="s">
        <v>416</v>
      </c>
      <c r="N553" s="17"/>
      <c r="O553" s="13" t="s">
        <v>417</v>
      </c>
      <c r="P553" s="13">
        <v>1</v>
      </c>
    </row>
    <row r="554" spans="1:16">
      <c r="A554" s="10">
        <v>551</v>
      </c>
      <c r="B554" s="13" t="s">
        <v>449</v>
      </c>
      <c r="C554" s="13" t="s">
        <v>924</v>
      </c>
      <c r="D554" s="13" t="str">
        <f t="shared" si="40"/>
        <v>513021********044X</v>
      </c>
      <c r="E554" s="13" t="str">
        <f t="shared" si="43"/>
        <v>女</v>
      </c>
      <c r="F554" s="17">
        <f ca="1" t="shared" si="41"/>
        <v>76</v>
      </c>
      <c r="G554" s="13" t="s">
        <v>20</v>
      </c>
      <c r="H554" s="18">
        <v>190</v>
      </c>
      <c r="I554" s="13" t="s">
        <v>21</v>
      </c>
      <c r="J554" s="13" t="s">
        <v>683</v>
      </c>
      <c r="K554" s="13"/>
      <c r="L554" s="17" t="str">
        <f>VLOOKUP(C554,[1]Sheet1!$B$2:$U$630,20,0)</f>
        <v>肢体三级;</v>
      </c>
      <c r="M554" s="13" t="s">
        <v>416</v>
      </c>
      <c r="N554" s="17"/>
      <c r="O554" s="13" t="s">
        <v>417</v>
      </c>
      <c r="P554" s="13">
        <v>1</v>
      </c>
    </row>
    <row r="555" spans="1:16">
      <c r="A555" s="10">
        <v>552</v>
      </c>
      <c r="B555" s="13" t="s">
        <v>925</v>
      </c>
      <c r="C555" s="13" t="str">
        <f>"513021194112230445"</f>
        <v>513021194112230445</v>
      </c>
      <c r="D555" s="13" t="str">
        <f t="shared" si="40"/>
        <v>513021********0445</v>
      </c>
      <c r="E555" s="13" t="str">
        <f t="shared" si="43"/>
        <v>女</v>
      </c>
      <c r="F555" s="17">
        <f ca="1" t="shared" ref="F555:F565" si="44">YEAR(TODAY())-MID(C555,7,4)</f>
        <v>83</v>
      </c>
      <c r="G555" s="13" t="s">
        <v>20</v>
      </c>
      <c r="H555" s="18">
        <v>190</v>
      </c>
      <c r="I555" s="13" t="s">
        <v>21</v>
      </c>
      <c r="J555" s="13" t="s">
        <v>683</v>
      </c>
      <c r="K555" s="13"/>
      <c r="L555" s="17"/>
      <c r="M555" s="13" t="s">
        <v>416</v>
      </c>
      <c r="N555" s="17"/>
      <c r="O555" s="13" t="s">
        <v>417</v>
      </c>
      <c r="P555" s="13">
        <v>1</v>
      </c>
    </row>
    <row r="556" spans="1:16">
      <c r="A556" s="10">
        <v>553</v>
      </c>
      <c r="B556" s="13" t="s">
        <v>453</v>
      </c>
      <c r="C556" s="13" t="str">
        <f>"513021194807290444"</f>
        <v>513021194807290444</v>
      </c>
      <c r="D556" s="13" t="str">
        <f t="shared" si="40"/>
        <v>513021********0444</v>
      </c>
      <c r="E556" s="13" t="str">
        <f t="shared" si="43"/>
        <v>女</v>
      </c>
      <c r="F556" s="17">
        <f ca="1" t="shared" si="44"/>
        <v>76</v>
      </c>
      <c r="G556" s="13" t="s">
        <v>20</v>
      </c>
      <c r="H556" s="18">
        <v>190</v>
      </c>
      <c r="I556" s="13" t="s">
        <v>21</v>
      </c>
      <c r="J556" s="13" t="s">
        <v>683</v>
      </c>
      <c r="K556" s="13"/>
      <c r="L556" s="17"/>
      <c r="M556" s="13" t="s">
        <v>416</v>
      </c>
      <c r="N556" s="17"/>
      <c r="O556" s="13" t="s">
        <v>417</v>
      </c>
      <c r="P556" s="13">
        <v>1</v>
      </c>
    </row>
    <row r="557" spans="1:16">
      <c r="A557" s="10">
        <v>554</v>
      </c>
      <c r="B557" s="13" t="s">
        <v>926</v>
      </c>
      <c r="C557" s="13" t="str">
        <f>"513021197306160522"</f>
        <v>513021197306160522</v>
      </c>
      <c r="D557" s="13" t="str">
        <f t="shared" si="40"/>
        <v>513021********0522</v>
      </c>
      <c r="E557" s="13" t="str">
        <f t="shared" si="43"/>
        <v>女</v>
      </c>
      <c r="F557" s="17">
        <f ca="1" t="shared" si="44"/>
        <v>51</v>
      </c>
      <c r="G557" s="13" t="s">
        <v>20</v>
      </c>
      <c r="H557" s="18">
        <v>190</v>
      </c>
      <c r="I557" s="13" t="s">
        <v>21</v>
      </c>
      <c r="J557" s="13" t="s">
        <v>683</v>
      </c>
      <c r="K557" s="13"/>
      <c r="L557" s="17" t="str">
        <f>VLOOKUP(C557,[1]Sheet1!$B$2:$U$630,20,0)</f>
        <v>肢体四级;</v>
      </c>
      <c r="M557" s="13" t="s">
        <v>416</v>
      </c>
      <c r="N557" s="17"/>
      <c r="O557" s="13" t="s">
        <v>417</v>
      </c>
      <c r="P557" s="13">
        <v>1</v>
      </c>
    </row>
    <row r="558" spans="1:16">
      <c r="A558" s="10">
        <v>555</v>
      </c>
      <c r="B558" s="13" t="s">
        <v>927</v>
      </c>
      <c r="C558" s="13" t="str">
        <f>"513021193710290451"</f>
        <v>513021193710290451</v>
      </c>
      <c r="D558" s="13" t="str">
        <f t="shared" si="40"/>
        <v>513021********0451</v>
      </c>
      <c r="E558" s="13" t="str">
        <f t="shared" si="43"/>
        <v>男</v>
      </c>
      <c r="F558" s="17">
        <f ca="1" t="shared" si="44"/>
        <v>87</v>
      </c>
      <c r="G558" s="13" t="s">
        <v>20</v>
      </c>
      <c r="H558" s="18">
        <v>190</v>
      </c>
      <c r="I558" s="13" t="s">
        <v>21</v>
      </c>
      <c r="J558" s="13" t="s">
        <v>683</v>
      </c>
      <c r="K558" s="13"/>
      <c r="L558" s="17"/>
      <c r="M558" s="13" t="s">
        <v>416</v>
      </c>
      <c r="N558" s="17"/>
      <c r="O558" s="13" t="s">
        <v>417</v>
      </c>
      <c r="P558" s="13">
        <v>1</v>
      </c>
    </row>
    <row r="559" spans="1:16">
      <c r="A559" s="10">
        <v>556</v>
      </c>
      <c r="B559" s="13" t="s">
        <v>928</v>
      </c>
      <c r="C559" s="13" t="str">
        <f>"513021196301200455"</f>
        <v>513021196301200455</v>
      </c>
      <c r="D559" s="13" t="str">
        <f t="shared" si="40"/>
        <v>513021********0455</v>
      </c>
      <c r="E559" s="13" t="str">
        <f t="shared" ref="E559:E582" si="45">IF(MOD(MID(C559,17,1),2)=1,"男","女")</f>
        <v>男</v>
      </c>
      <c r="F559" s="17">
        <f ca="1" t="shared" si="44"/>
        <v>61</v>
      </c>
      <c r="G559" s="13" t="s">
        <v>20</v>
      </c>
      <c r="H559" s="18">
        <v>190</v>
      </c>
      <c r="I559" s="13" t="s">
        <v>21</v>
      </c>
      <c r="J559" s="13" t="s">
        <v>683</v>
      </c>
      <c r="K559" s="13"/>
      <c r="L559" s="17" t="str">
        <f>VLOOKUP(C559,[1]Sheet1!$B$2:$U$630,20,0)</f>
        <v>听力四级;</v>
      </c>
      <c r="M559" s="13" t="s">
        <v>416</v>
      </c>
      <c r="N559" s="17"/>
      <c r="O559" s="13" t="s">
        <v>417</v>
      </c>
      <c r="P559" s="13">
        <v>1</v>
      </c>
    </row>
    <row r="560" spans="1:16">
      <c r="A560" s="10">
        <v>557</v>
      </c>
      <c r="B560" s="13" t="s">
        <v>795</v>
      </c>
      <c r="C560" s="13" t="str">
        <f>"513021194008030443"</f>
        <v>513021194008030443</v>
      </c>
      <c r="D560" s="13" t="str">
        <f t="shared" si="40"/>
        <v>513021********0443</v>
      </c>
      <c r="E560" s="13" t="str">
        <f t="shared" si="45"/>
        <v>女</v>
      </c>
      <c r="F560" s="17">
        <f ca="1" t="shared" si="44"/>
        <v>84</v>
      </c>
      <c r="G560" s="13" t="s">
        <v>20</v>
      </c>
      <c r="H560" s="18">
        <v>190</v>
      </c>
      <c r="I560" s="13" t="s">
        <v>21</v>
      </c>
      <c r="J560" s="13" t="s">
        <v>683</v>
      </c>
      <c r="K560" s="13"/>
      <c r="L560" s="17"/>
      <c r="M560" s="13" t="s">
        <v>416</v>
      </c>
      <c r="N560" s="17"/>
      <c r="O560" s="13" t="s">
        <v>417</v>
      </c>
      <c r="P560" s="13">
        <v>1</v>
      </c>
    </row>
    <row r="561" spans="1:16">
      <c r="A561" s="10">
        <v>558</v>
      </c>
      <c r="B561" s="13" t="s">
        <v>929</v>
      </c>
      <c r="C561" s="13" t="str">
        <f>"513021194108290453"</f>
        <v>513021194108290453</v>
      </c>
      <c r="D561" s="13" t="str">
        <f t="shared" si="40"/>
        <v>513021********0453</v>
      </c>
      <c r="E561" s="13" t="str">
        <f t="shared" si="45"/>
        <v>男</v>
      </c>
      <c r="F561" s="17">
        <f ca="1" t="shared" si="44"/>
        <v>83</v>
      </c>
      <c r="G561" s="13" t="s">
        <v>20</v>
      </c>
      <c r="H561" s="18">
        <v>190</v>
      </c>
      <c r="I561" s="13" t="s">
        <v>21</v>
      </c>
      <c r="J561" s="13" t="s">
        <v>683</v>
      </c>
      <c r="K561" s="13"/>
      <c r="L561" s="17"/>
      <c r="M561" s="13" t="s">
        <v>416</v>
      </c>
      <c r="N561" s="17"/>
      <c r="O561" s="13" t="s">
        <v>417</v>
      </c>
      <c r="P561" s="13">
        <v>1</v>
      </c>
    </row>
    <row r="562" spans="1:16">
      <c r="A562" s="10">
        <v>559</v>
      </c>
      <c r="B562" s="13" t="s">
        <v>930</v>
      </c>
      <c r="C562" s="13" t="str">
        <f>"513021195006220440"</f>
        <v>513021195006220440</v>
      </c>
      <c r="D562" s="13" t="str">
        <f t="shared" si="40"/>
        <v>513021********0440</v>
      </c>
      <c r="E562" s="13" t="str">
        <f t="shared" si="45"/>
        <v>女</v>
      </c>
      <c r="F562" s="17">
        <f ca="1" t="shared" si="44"/>
        <v>74</v>
      </c>
      <c r="G562" s="13" t="s">
        <v>20</v>
      </c>
      <c r="H562" s="18">
        <v>190</v>
      </c>
      <c r="I562" s="13" t="s">
        <v>21</v>
      </c>
      <c r="J562" s="13" t="s">
        <v>683</v>
      </c>
      <c r="K562" s="13"/>
      <c r="L562" s="17"/>
      <c r="M562" s="13" t="s">
        <v>416</v>
      </c>
      <c r="N562" s="17"/>
      <c r="O562" s="13" t="s">
        <v>417</v>
      </c>
      <c r="P562" s="13">
        <v>1</v>
      </c>
    </row>
    <row r="563" spans="1:16">
      <c r="A563" s="10">
        <v>560</v>
      </c>
      <c r="B563" s="13" t="s">
        <v>931</v>
      </c>
      <c r="C563" s="13" t="str">
        <f>"513021193910210452"</f>
        <v>513021193910210452</v>
      </c>
      <c r="D563" s="13" t="str">
        <f t="shared" si="40"/>
        <v>513021********0452</v>
      </c>
      <c r="E563" s="13" t="str">
        <f t="shared" si="45"/>
        <v>男</v>
      </c>
      <c r="F563" s="17">
        <f ca="1" t="shared" si="44"/>
        <v>85</v>
      </c>
      <c r="G563" s="13" t="s">
        <v>20</v>
      </c>
      <c r="H563" s="18">
        <v>190</v>
      </c>
      <c r="I563" s="13" t="s">
        <v>21</v>
      </c>
      <c r="J563" s="13" t="s">
        <v>683</v>
      </c>
      <c r="K563" s="13"/>
      <c r="L563" s="17"/>
      <c r="M563" s="13" t="s">
        <v>416</v>
      </c>
      <c r="N563" s="17"/>
      <c r="O563" s="13" t="s">
        <v>417</v>
      </c>
      <c r="P563" s="13">
        <v>1</v>
      </c>
    </row>
    <row r="564" spans="1:16">
      <c r="A564" s="10">
        <v>561</v>
      </c>
      <c r="B564" s="13" t="s">
        <v>55</v>
      </c>
      <c r="C564" s="13" t="str">
        <f>"513021194404130462"</f>
        <v>513021194404130462</v>
      </c>
      <c r="D564" s="13" t="str">
        <f t="shared" si="40"/>
        <v>513021********0462</v>
      </c>
      <c r="E564" s="13" t="str">
        <f t="shared" si="45"/>
        <v>女</v>
      </c>
      <c r="F564" s="17">
        <f ca="1" t="shared" si="44"/>
        <v>80</v>
      </c>
      <c r="G564" s="13" t="s">
        <v>20</v>
      </c>
      <c r="H564" s="18">
        <v>380</v>
      </c>
      <c r="I564" s="13" t="s">
        <v>21</v>
      </c>
      <c r="J564" s="13" t="s">
        <v>683</v>
      </c>
      <c r="K564" s="13"/>
      <c r="L564" s="17"/>
      <c r="M564" s="13" t="s">
        <v>416</v>
      </c>
      <c r="N564" s="17"/>
      <c r="O564" s="13" t="s">
        <v>417</v>
      </c>
      <c r="P564" s="13">
        <v>1</v>
      </c>
    </row>
    <row r="565" spans="1:16">
      <c r="A565" s="10">
        <v>562</v>
      </c>
      <c r="B565" s="13" t="s">
        <v>932</v>
      </c>
      <c r="C565" s="13" t="str">
        <f>"511721201303165729"</f>
        <v>511721201303165729</v>
      </c>
      <c r="D565" s="13" t="str">
        <f t="shared" si="40"/>
        <v>511721********5729</v>
      </c>
      <c r="E565" s="13" t="str">
        <f t="shared" si="45"/>
        <v>女</v>
      </c>
      <c r="F565" s="17">
        <f ca="1" t="shared" ref="F565:F582" si="46">YEAR(TODAY())-MID(C565,7,4)</f>
        <v>11</v>
      </c>
      <c r="G565" s="13" t="s">
        <v>20</v>
      </c>
      <c r="H565" s="18">
        <v>190</v>
      </c>
      <c r="I565" s="13" t="s">
        <v>21</v>
      </c>
      <c r="J565" s="13" t="s">
        <v>683</v>
      </c>
      <c r="K565" s="13"/>
      <c r="L565" s="17" t="str">
        <f>VLOOKUP(C565,[1]Sheet1!$B$2:$U$630,20,0)</f>
        <v>智力二级;</v>
      </c>
      <c r="M565" s="13" t="s">
        <v>416</v>
      </c>
      <c r="N565" s="17"/>
      <c r="O565" s="13" t="s">
        <v>417</v>
      </c>
      <c r="P565" s="13">
        <v>1</v>
      </c>
    </row>
    <row r="566" spans="1:16">
      <c r="A566" s="10">
        <v>563</v>
      </c>
      <c r="B566" s="13" t="s">
        <v>933</v>
      </c>
      <c r="C566" s="13" t="str">
        <f>"513021195309160449"</f>
        <v>513021195309160449</v>
      </c>
      <c r="D566" s="13" t="str">
        <f t="shared" si="40"/>
        <v>513021********0449</v>
      </c>
      <c r="E566" s="13" t="str">
        <f t="shared" si="45"/>
        <v>女</v>
      </c>
      <c r="F566" s="17">
        <f ca="1" t="shared" si="46"/>
        <v>71</v>
      </c>
      <c r="G566" s="13" t="s">
        <v>20</v>
      </c>
      <c r="H566" s="18">
        <v>190</v>
      </c>
      <c r="I566" s="13" t="s">
        <v>21</v>
      </c>
      <c r="J566" s="13" t="s">
        <v>683</v>
      </c>
      <c r="K566" s="13"/>
      <c r="L566" s="17"/>
      <c r="M566" s="13" t="s">
        <v>416</v>
      </c>
      <c r="N566" s="17" t="s">
        <v>34</v>
      </c>
      <c r="O566" s="13"/>
      <c r="P566" s="13">
        <v>2</v>
      </c>
    </row>
    <row r="567" ht="15.6" spans="1:16">
      <c r="A567" s="10">
        <v>564</v>
      </c>
      <c r="B567" s="34" t="s">
        <v>934</v>
      </c>
      <c r="C567" s="34" t="s">
        <v>935</v>
      </c>
      <c r="D567" s="13" t="str">
        <f t="shared" si="40"/>
        <v>513021********0471</v>
      </c>
      <c r="E567" s="13" t="str">
        <f t="shared" si="45"/>
        <v>男</v>
      </c>
      <c r="F567" s="17">
        <f ca="1" t="shared" si="46"/>
        <v>30</v>
      </c>
      <c r="G567" s="34" t="s">
        <v>475</v>
      </c>
      <c r="H567" s="20"/>
      <c r="I567" s="13" t="s">
        <v>21</v>
      </c>
      <c r="J567" s="13" t="s">
        <v>683</v>
      </c>
      <c r="K567" s="13"/>
      <c r="L567" s="17"/>
      <c r="M567" s="13" t="s">
        <v>416</v>
      </c>
      <c r="N567" s="17" t="s">
        <v>34</v>
      </c>
      <c r="O567" s="13"/>
      <c r="P567" s="13"/>
    </row>
    <row r="568" spans="1:16">
      <c r="A568" s="10">
        <v>565</v>
      </c>
      <c r="B568" s="13" t="s">
        <v>936</v>
      </c>
      <c r="C568" s="13" t="str">
        <f>"513021194703150447"</f>
        <v>513021194703150447</v>
      </c>
      <c r="D568" s="13" t="str">
        <f t="shared" si="40"/>
        <v>513021********0447</v>
      </c>
      <c r="E568" s="13" t="str">
        <f t="shared" si="45"/>
        <v>女</v>
      </c>
      <c r="F568" s="17">
        <f ca="1" t="shared" si="46"/>
        <v>77</v>
      </c>
      <c r="G568" s="13" t="s">
        <v>20</v>
      </c>
      <c r="H568" s="18">
        <v>190</v>
      </c>
      <c r="I568" s="13" t="s">
        <v>21</v>
      </c>
      <c r="J568" s="13" t="s">
        <v>683</v>
      </c>
      <c r="K568" s="13"/>
      <c r="L568" s="17"/>
      <c r="M568" s="13" t="s">
        <v>416</v>
      </c>
      <c r="N568" s="17"/>
      <c r="O568" s="13" t="s">
        <v>417</v>
      </c>
      <c r="P568" s="13">
        <v>1</v>
      </c>
    </row>
    <row r="569" spans="1:16">
      <c r="A569" s="10">
        <v>566</v>
      </c>
      <c r="B569" s="13" t="s">
        <v>937</v>
      </c>
      <c r="C569" s="13" t="str">
        <f>"513021195105140446"</f>
        <v>513021195105140446</v>
      </c>
      <c r="D569" s="13" t="str">
        <f t="shared" si="40"/>
        <v>513021********0446</v>
      </c>
      <c r="E569" s="13" t="str">
        <f t="shared" si="45"/>
        <v>女</v>
      </c>
      <c r="F569" s="17">
        <f ca="1" t="shared" si="46"/>
        <v>73</v>
      </c>
      <c r="G569" s="13" t="s">
        <v>20</v>
      </c>
      <c r="H569" s="18">
        <v>190</v>
      </c>
      <c r="I569" s="13" t="s">
        <v>21</v>
      </c>
      <c r="J569" s="13" t="s">
        <v>683</v>
      </c>
      <c r="K569" s="13"/>
      <c r="L569" s="17"/>
      <c r="M569" s="13" t="s">
        <v>416</v>
      </c>
      <c r="N569" s="17"/>
      <c r="O569" s="13" t="s">
        <v>417</v>
      </c>
      <c r="P569" s="13">
        <v>1</v>
      </c>
    </row>
    <row r="570" spans="1:16">
      <c r="A570" s="10">
        <v>567</v>
      </c>
      <c r="B570" s="13" t="s">
        <v>938</v>
      </c>
      <c r="C570" s="13" t="str">
        <f>"513021195310010448"</f>
        <v>513021195310010448</v>
      </c>
      <c r="D570" s="13" t="str">
        <f t="shared" si="40"/>
        <v>513021********0448</v>
      </c>
      <c r="E570" s="13" t="str">
        <f t="shared" si="45"/>
        <v>女</v>
      </c>
      <c r="F570" s="17">
        <f ca="1" t="shared" si="46"/>
        <v>71</v>
      </c>
      <c r="G570" s="13" t="s">
        <v>20</v>
      </c>
      <c r="H570" s="18">
        <v>190</v>
      </c>
      <c r="I570" s="13" t="s">
        <v>21</v>
      </c>
      <c r="J570" s="13" t="s">
        <v>683</v>
      </c>
      <c r="K570" s="13"/>
      <c r="L570" s="17"/>
      <c r="M570" s="13" t="s">
        <v>416</v>
      </c>
      <c r="N570" s="17"/>
      <c r="O570" s="13" t="s">
        <v>417</v>
      </c>
      <c r="P570" s="13">
        <v>1</v>
      </c>
    </row>
    <row r="571" spans="1:16">
      <c r="A571" s="10">
        <v>568</v>
      </c>
      <c r="B571" s="13" t="s">
        <v>939</v>
      </c>
      <c r="C571" s="13" t="str">
        <f>"513021194201120459"</f>
        <v>513021194201120459</v>
      </c>
      <c r="D571" s="13" t="str">
        <f t="shared" si="40"/>
        <v>513021********0459</v>
      </c>
      <c r="E571" s="13" t="str">
        <f t="shared" si="45"/>
        <v>男</v>
      </c>
      <c r="F571" s="17">
        <f ca="1" t="shared" si="46"/>
        <v>82</v>
      </c>
      <c r="G571" s="13" t="s">
        <v>20</v>
      </c>
      <c r="H571" s="18">
        <v>380</v>
      </c>
      <c r="I571" s="13" t="s">
        <v>21</v>
      </c>
      <c r="J571" s="13" t="s">
        <v>683</v>
      </c>
      <c r="K571" s="13"/>
      <c r="L571" s="17" t="str">
        <f>VLOOKUP(C571,[1]Sheet1!$B$2:$U$630,20,0)</f>
        <v>肢体四级;</v>
      </c>
      <c r="M571" s="13" t="s">
        <v>416</v>
      </c>
      <c r="N571" s="17" t="s">
        <v>34</v>
      </c>
      <c r="O571" s="13"/>
      <c r="P571" s="13">
        <v>6</v>
      </c>
    </row>
    <row r="572" ht="15.6" spans="1:16">
      <c r="A572" s="10">
        <v>569</v>
      </c>
      <c r="B572" s="34" t="s">
        <v>940</v>
      </c>
      <c r="C572" s="34" t="s">
        <v>941</v>
      </c>
      <c r="D572" s="13" t="str">
        <f t="shared" si="40"/>
        <v>513021********0449</v>
      </c>
      <c r="E572" s="13" t="str">
        <f t="shared" si="45"/>
        <v>女</v>
      </c>
      <c r="F572" s="17">
        <f ca="1" t="shared" si="46"/>
        <v>82</v>
      </c>
      <c r="G572" s="13" t="s">
        <v>37</v>
      </c>
      <c r="H572" s="20"/>
      <c r="I572" s="13" t="s">
        <v>21</v>
      </c>
      <c r="J572" s="13" t="s">
        <v>683</v>
      </c>
      <c r="K572" s="13"/>
      <c r="L572" s="17" t="str">
        <f>VLOOKUP(C572,[1]Sheet1!$B$2:$U$630,20,0)</f>
        <v>视力三级;</v>
      </c>
      <c r="M572" s="13" t="s">
        <v>416</v>
      </c>
      <c r="N572" s="17" t="s">
        <v>34</v>
      </c>
      <c r="O572" s="13"/>
      <c r="P572" s="13"/>
    </row>
    <row r="573" ht="15.6" spans="1:16">
      <c r="A573" s="10">
        <v>570</v>
      </c>
      <c r="B573" s="34" t="s">
        <v>942</v>
      </c>
      <c r="C573" s="34" t="s">
        <v>943</v>
      </c>
      <c r="D573" s="13" t="str">
        <f t="shared" si="40"/>
        <v>513021********0452</v>
      </c>
      <c r="E573" s="13" t="str">
        <f t="shared" si="45"/>
        <v>男</v>
      </c>
      <c r="F573" s="17">
        <f ca="1" t="shared" si="46"/>
        <v>61</v>
      </c>
      <c r="G573" s="13" t="s">
        <v>429</v>
      </c>
      <c r="H573" s="20"/>
      <c r="I573" s="13" t="s">
        <v>21</v>
      </c>
      <c r="J573" s="13" t="s">
        <v>683</v>
      </c>
      <c r="K573" s="13"/>
      <c r="L573" s="17"/>
      <c r="M573" s="13" t="s">
        <v>416</v>
      </c>
      <c r="N573" s="17" t="s">
        <v>34</v>
      </c>
      <c r="O573" s="13"/>
      <c r="P573" s="13"/>
    </row>
    <row r="574" ht="15.6" spans="1:16">
      <c r="A574" s="10">
        <v>571</v>
      </c>
      <c r="B574" s="34" t="s">
        <v>944</v>
      </c>
      <c r="C574" s="34" t="s">
        <v>945</v>
      </c>
      <c r="D574" s="13" t="str">
        <f t="shared" si="40"/>
        <v>513021********0862</v>
      </c>
      <c r="E574" s="13" t="str">
        <f t="shared" si="45"/>
        <v>女</v>
      </c>
      <c r="F574" s="17">
        <f ca="1" t="shared" si="46"/>
        <v>61</v>
      </c>
      <c r="G574" s="13" t="s">
        <v>437</v>
      </c>
      <c r="H574" s="20"/>
      <c r="I574" s="13" t="s">
        <v>21</v>
      </c>
      <c r="J574" s="13" t="s">
        <v>683</v>
      </c>
      <c r="K574" s="13"/>
      <c r="L574" s="17"/>
      <c r="M574" s="13" t="s">
        <v>416</v>
      </c>
      <c r="N574" s="17" t="s">
        <v>34</v>
      </c>
      <c r="O574" s="13"/>
      <c r="P574" s="13"/>
    </row>
    <row r="575" ht="15.6" spans="1:16">
      <c r="A575" s="10">
        <v>572</v>
      </c>
      <c r="B575" s="34" t="s">
        <v>946</v>
      </c>
      <c r="C575" s="34" t="s">
        <v>947</v>
      </c>
      <c r="D575" s="13" t="str">
        <f t="shared" si="40"/>
        <v>513021********0455</v>
      </c>
      <c r="E575" s="13" t="str">
        <f t="shared" si="45"/>
        <v>男</v>
      </c>
      <c r="F575" s="17">
        <f ca="1" t="shared" si="46"/>
        <v>35</v>
      </c>
      <c r="G575" s="13" t="s">
        <v>469</v>
      </c>
      <c r="H575" s="20"/>
      <c r="I575" s="13" t="s">
        <v>21</v>
      </c>
      <c r="J575" s="13" t="s">
        <v>683</v>
      </c>
      <c r="K575" s="13"/>
      <c r="L575" s="17"/>
      <c r="M575" s="13" t="s">
        <v>416</v>
      </c>
      <c r="N575" s="17" t="s">
        <v>34</v>
      </c>
      <c r="O575" s="13"/>
      <c r="P575" s="13"/>
    </row>
    <row r="576" ht="15.6" spans="1:16">
      <c r="A576" s="10">
        <v>573</v>
      </c>
      <c r="B576" s="34" t="s">
        <v>948</v>
      </c>
      <c r="C576" s="34" t="s">
        <v>949</v>
      </c>
      <c r="D576" s="13" t="str">
        <f t="shared" si="40"/>
        <v>511721********8980</v>
      </c>
      <c r="E576" s="13" t="str">
        <f t="shared" si="45"/>
        <v>女</v>
      </c>
      <c r="F576" s="17">
        <f ca="1" t="shared" si="46"/>
        <v>19</v>
      </c>
      <c r="G576" s="13" t="s">
        <v>950</v>
      </c>
      <c r="H576" s="20"/>
      <c r="I576" s="13" t="s">
        <v>21</v>
      </c>
      <c r="J576" s="13" t="s">
        <v>683</v>
      </c>
      <c r="K576" s="13"/>
      <c r="L576" s="17"/>
      <c r="M576" s="13" t="s">
        <v>416</v>
      </c>
      <c r="N576" s="17" t="s">
        <v>34</v>
      </c>
      <c r="O576" s="13"/>
      <c r="P576" s="13"/>
    </row>
    <row r="577" spans="1:16">
      <c r="A577" s="10">
        <v>574</v>
      </c>
      <c r="B577" s="13" t="s">
        <v>951</v>
      </c>
      <c r="C577" s="13" t="str">
        <f>"513021194411100018"</f>
        <v>513021194411100018</v>
      </c>
      <c r="D577" s="13" t="str">
        <f t="shared" si="40"/>
        <v>513021********0018</v>
      </c>
      <c r="E577" s="13" t="str">
        <f t="shared" si="45"/>
        <v>男</v>
      </c>
      <c r="F577" s="17">
        <f ca="1" t="shared" si="46"/>
        <v>80</v>
      </c>
      <c r="G577" s="13" t="s">
        <v>20</v>
      </c>
      <c r="H577" s="18">
        <v>190</v>
      </c>
      <c r="I577" s="13" t="s">
        <v>21</v>
      </c>
      <c r="J577" s="13" t="s">
        <v>683</v>
      </c>
      <c r="K577" s="13"/>
      <c r="L577" s="17"/>
      <c r="M577" s="13" t="s">
        <v>416</v>
      </c>
      <c r="N577" s="17"/>
      <c r="O577" s="13" t="s">
        <v>417</v>
      </c>
      <c r="P577" s="13">
        <v>1</v>
      </c>
    </row>
    <row r="578" spans="1:16">
      <c r="A578" s="10">
        <v>575</v>
      </c>
      <c r="B578" s="13" t="s">
        <v>952</v>
      </c>
      <c r="C578" s="13" t="str">
        <f>"513021194807180456"</f>
        <v>513021194807180456</v>
      </c>
      <c r="D578" s="13" t="str">
        <f t="shared" si="40"/>
        <v>513021********0456</v>
      </c>
      <c r="E578" s="13" t="str">
        <f t="shared" si="45"/>
        <v>男</v>
      </c>
      <c r="F578" s="17">
        <f ca="1" t="shared" si="46"/>
        <v>76</v>
      </c>
      <c r="G578" s="13" t="s">
        <v>20</v>
      </c>
      <c r="H578" s="18">
        <v>190</v>
      </c>
      <c r="I578" s="13" t="s">
        <v>21</v>
      </c>
      <c r="J578" s="13" t="s">
        <v>683</v>
      </c>
      <c r="K578" s="13"/>
      <c r="L578" s="17" t="str">
        <f>VLOOKUP(C578,[1]Sheet1!$B$2:$U$630,20,0)</f>
        <v>肢体四级;</v>
      </c>
      <c r="M578" s="13" t="s">
        <v>416</v>
      </c>
      <c r="N578" s="17"/>
      <c r="O578" s="13" t="s">
        <v>417</v>
      </c>
      <c r="P578" s="13">
        <v>1</v>
      </c>
    </row>
    <row r="579" spans="1:16">
      <c r="A579" s="10">
        <v>576</v>
      </c>
      <c r="B579" s="13" t="s">
        <v>953</v>
      </c>
      <c r="C579" s="13" t="str">
        <f>"513021195305270464"</f>
        <v>513021195305270464</v>
      </c>
      <c r="D579" s="13" t="str">
        <f t="shared" si="40"/>
        <v>513021********0464</v>
      </c>
      <c r="E579" s="13" t="str">
        <f t="shared" si="45"/>
        <v>女</v>
      </c>
      <c r="F579" s="17">
        <f ca="1" t="shared" si="46"/>
        <v>71</v>
      </c>
      <c r="G579" s="13" t="s">
        <v>20</v>
      </c>
      <c r="H579" s="18">
        <v>190</v>
      </c>
      <c r="I579" s="13" t="s">
        <v>21</v>
      </c>
      <c r="J579" s="13" t="s">
        <v>683</v>
      </c>
      <c r="K579" s="13"/>
      <c r="L579" s="17"/>
      <c r="M579" s="13" t="s">
        <v>416</v>
      </c>
      <c r="N579" s="17"/>
      <c r="O579" s="13" t="s">
        <v>417</v>
      </c>
      <c r="P579" s="13">
        <v>1</v>
      </c>
    </row>
    <row r="580" spans="1:16">
      <c r="A580" s="10">
        <v>577</v>
      </c>
      <c r="B580" s="13" t="s">
        <v>954</v>
      </c>
      <c r="C580" s="13" t="str">
        <f>"513021195909210446"</f>
        <v>513021195909210446</v>
      </c>
      <c r="D580" s="13" t="str">
        <f t="shared" si="40"/>
        <v>513021********0446</v>
      </c>
      <c r="E580" s="13" t="str">
        <f t="shared" si="45"/>
        <v>女</v>
      </c>
      <c r="F580" s="17">
        <f ca="1" t="shared" si="46"/>
        <v>65</v>
      </c>
      <c r="G580" s="13" t="s">
        <v>20</v>
      </c>
      <c r="H580" s="18">
        <v>190</v>
      </c>
      <c r="I580" s="13" t="s">
        <v>21</v>
      </c>
      <c r="J580" s="13" t="s">
        <v>683</v>
      </c>
      <c r="K580" s="13"/>
      <c r="L580" s="17"/>
      <c r="M580" s="13" t="s">
        <v>416</v>
      </c>
      <c r="N580" s="17"/>
      <c r="O580" s="13" t="s">
        <v>417</v>
      </c>
      <c r="P580" s="13">
        <v>1</v>
      </c>
    </row>
    <row r="581" spans="1:16">
      <c r="A581" s="10">
        <v>578</v>
      </c>
      <c r="B581" s="13" t="s">
        <v>955</v>
      </c>
      <c r="C581" s="13" t="str">
        <f>"513021195405190445"</f>
        <v>513021195405190445</v>
      </c>
      <c r="D581" s="13" t="str">
        <f t="shared" ref="D581:D644" si="47">REPLACE(C581,7,8,"********")</f>
        <v>513021********0445</v>
      </c>
      <c r="E581" s="13" t="str">
        <f t="shared" si="45"/>
        <v>女</v>
      </c>
      <c r="F581" s="17">
        <f ca="1" t="shared" si="46"/>
        <v>70</v>
      </c>
      <c r="G581" s="13" t="s">
        <v>20</v>
      </c>
      <c r="H581" s="18">
        <v>190</v>
      </c>
      <c r="I581" s="13" t="s">
        <v>21</v>
      </c>
      <c r="J581" s="13" t="s">
        <v>683</v>
      </c>
      <c r="K581" s="13"/>
      <c r="L581" s="17"/>
      <c r="M581" s="13" t="s">
        <v>416</v>
      </c>
      <c r="N581" s="17"/>
      <c r="O581" s="13" t="s">
        <v>417</v>
      </c>
      <c r="P581" s="13">
        <v>1</v>
      </c>
    </row>
    <row r="582" spans="1:16">
      <c r="A582" s="10">
        <v>579</v>
      </c>
      <c r="B582" s="13" t="s">
        <v>956</v>
      </c>
      <c r="C582" s="13" t="str">
        <f>"513021195510100456"</f>
        <v>513021195510100456</v>
      </c>
      <c r="D582" s="13" t="str">
        <f t="shared" si="47"/>
        <v>513021********0456</v>
      </c>
      <c r="E582" s="13" t="str">
        <f t="shared" si="45"/>
        <v>男</v>
      </c>
      <c r="F582" s="17">
        <f ca="1" t="shared" si="46"/>
        <v>69</v>
      </c>
      <c r="G582" s="13" t="s">
        <v>20</v>
      </c>
      <c r="H582" s="18">
        <v>190</v>
      </c>
      <c r="I582" s="13" t="s">
        <v>21</v>
      </c>
      <c r="J582" s="13" t="s">
        <v>683</v>
      </c>
      <c r="K582" s="13"/>
      <c r="L582" s="17" t="str">
        <f>VLOOKUP(C582,[1]Sheet1!$B$2:$U$630,20,0)</f>
        <v>视力四级;</v>
      </c>
      <c r="M582" s="13" t="s">
        <v>416</v>
      </c>
      <c r="N582" s="17"/>
      <c r="O582" s="13" t="s">
        <v>417</v>
      </c>
      <c r="P582" s="13">
        <v>1</v>
      </c>
    </row>
    <row r="583" spans="1:16">
      <c r="A583" s="10">
        <v>580</v>
      </c>
      <c r="B583" s="13" t="s">
        <v>957</v>
      </c>
      <c r="C583" s="13" t="str">
        <f>"513021194710210444"</f>
        <v>513021194710210444</v>
      </c>
      <c r="D583" s="13" t="str">
        <f t="shared" si="47"/>
        <v>513021********0444</v>
      </c>
      <c r="E583" s="13" t="str">
        <f t="shared" ref="E583:E599" si="48">IF(MOD(MID(C583,17,1),2)=1,"男","女")</f>
        <v>女</v>
      </c>
      <c r="F583" s="17">
        <f ca="1" t="shared" ref="F583:F642" si="49">YEAR(TODAY())-MID(C583,7,4)</f>
        <v>77</v>
      </c>
      <c r="G583" s="13" t="s">
        <v>20</v>
      </c>
      <c r="H583" s="18">
        <v>190</v>
      </c>
      <c r="I583" s="13" t="s">
        <v>21</v>
      </c>
      <c r="J583" s="13" t="s">
        <v>683</v>
      </c>
      <c r="K583" s="13"/>
      <c r="L583" s="17"/>
      <c r="M583" s="13" t="s">
        <v>416</v>
      </c>
      <c r="N583" s="17"/>
      <c r="O583" s="13" t="s">
        <v>417</v>
      </c>
      <c r="P583" s="13">
        <v>1</v>
      </c>
    </row>
    <row r="584" spans="1:16">
      <c r="A584" s="10">
        <v>581</v>
      </c>
      <c r="B584" s="13" t="s">
        <v>958</v>
      </c>
      <c r="C584" s="13" t="str">
        <f>"513021196909130459"</f>
        <v>513021196909130459</v>
      </c>
      <c r="D584" s="13" t="str">
        <f t="shared" si="47"/>
        <v>513021********0459</v>
      </c>
      <c r="E584" s="13" t="str">
        <f t="shared" si="48"/>
        <v>男</v>
      </c>
      <c r="F584" s="17">
        <f ca="1" t="shared" si="49"/>
        <v>55</v>
      </c>
      <c r="G584" s="13" t="s">
        <v>20</v>
      </c>
      <c r="H584" s="18">
        <v>190</v>
      </c>
      <c r="I584" s="13" t="s">
        <v>21</v>
      </c>
      <c r="J584" s="13" t="s">
        <v>683</v>
      </c>
      <c r="K584" s="13"/>
      <c r="L584" s="17"/>
      <c r="M584" s="13" t="s">
        <v>416</v>
      </c>
      <c r="N584" s="17"/>
      <c r="O584" s="13" t="s">
        <v>417</v>
      </c>
      <c r="P584" s="13">
        <v>1</v>
      </c>
    </row>
    <row r="585" spans="1:16">
      <c r="A585" s="10">
        <v>582</v>
      </c>
      <c r="B585" s="13" t="s">
        <v>959</v>
      </c>
      <c r="C585" s="13" t="str">
        <f>"513021194407020445"</f>
        <v>513021194407020445</v>
      </c>
      <c r="D585" s="13" t="str">
        <f t="shared" si="47"/>
        <v>513021********0445</v>
      </c>
      <c r="E585" s="13" t="str">
        <f t="shared" si="48"/>
        <v>女</v>
      </c>
      <c r="F585" s="17">
        <f ca="1" t="shared" si="49"/>
        <v>80</v>
      </c>
      <c r="G585" s="13" t="s">
        <v>20</v>
      </c>
      <c r="H585" s="18">
        <v>190</v>
      </c>
      <c r="I585" s="13" t="s">
        <v>21</v>
      </c>
      <c r="J585" s="13" t="s">
        <v>683</v>
      </c>
      <c r="K585" s="13"/>
      <c r="L585" s="17"/>
      <c r="M585" s="13" t="s">
        <v>416</v>
      </c>
      <c r="N585" s="17"/>
      <c r="O585" s="13" t="s">
        <v>417</v>
      </c>
      <c r="P585" s="13">
        <v>1</v>
      </c>
    </row>
    <row r="586" spans="1:16">
      <c r="A586" s="10">
        <v>583</v>
      </c>
      <c r="B586" s="13" t="s">
        <v>960</v>
      </c>
      <c r="C586" s="13" t="str">
        <f>"513021196308180450"</f>
        <v>513021196308180450</v>
      </c>
      <c r="D586" s="13" t="str">
        <f t="shared" si="47"/>
        <v>513021********0450</v>
      </c>
      <c r="E586" s="13" t="str">
        <f t="shared" si="48"/>
        <v>男</v>
      </c>
      <c r="F586" s="17">
        <f ca="1" t="shared" si="49"/>
        <v>61</v>
      </c>
      <c r="G586" s="13" t="s">
        <v>20</v>
      </c>
      <c r="H586" s="18">
        <v>190</v>
      </c>
      <c r="I586" s="13" t="s">
        <v>21</v>
      </c>
      <c r="J586" s="13" t="s">
        <v>683</v>
      </c>
      <c r="K586" s="13"/>
      <c r="L586" s="17"/>
      <c r="M586" s="13" t="s">
        <v>416</v>
      </c>
      <c r="N586" s="17"/>
      <c r="O586" s="13" t="s">
        <v>417</v>
      </c>
      <c r="P586" s="13">
        <v>1</v>
      </c>
    </row>
    <row r="587" spans="1:16">
      <c r="A587" s="10">
        <v>584</v>
      </c>
      <c r="B587" s="13" t="s">
        <v>961</v>
      </c>
      <c r="C587" s="13" t="str">
        <f>"513021195101150444"</f>
        <v>513021195101150444</v>
      </c>
      <c r="D587" s="13" t="str">
        <f t="shared" si="47"/>
        <v>513021********0444</v>
      </c>
      <c r="E587" s="13" t="str">
        <f t="shared" si="48"/>
        <v>女</v>
      </c>
      <c r="F587" s="17">
        <f ca="1" t="shared" si="49"/>
        <v>73</v>
      </c>
      <c r="G587" s="13" t="s">
        <v>20</v>
      </c>
      <c r="H587" s="18">
        <v>190</v>
      </c>
      <c r="I587" s="13" t="s">
        <v>21</v>
      </c>
      <c r="J587" s="13" t="s">
        <v>683</v>
      </c>
      <c r="K587" s="13"/>
      <c r="L587" s="17"/>
      <c r="M587" s="13" t="s">
        <v>416</v>
      </c>
      <c r="N587" s="17"/>
      <c r="O587" s="13" t="s">
        <v>417</v>
      </c>
      <c r="P587" s="13">
        <v>1</v>
      </c>
    </row>
    <row r="588" spans="1:16">
      <c r="A588" s="10">
        <v>585</v>
      </c>
      <c r="B588" s="13" t="s">
        <v>962</v>
      </c>
      <c r="C588" s="13" t="str">
        <f>"513021195108190465"</f>
        <v>513021195108190465</v>
      </c>
      <c r="D588" s="13" t="str">
        <f t="shared" si="47"/>
        <v>513021********0465</v>
      </c>
      <c r="E588" s="13" t="str">
        <f t="shared" si="48"/>
        <v>女</v>
      </c>
      <c r="F588" s="17">
        <f ca="1" t="shared" si="49"/>
        <v>73</v>
      </c>
      <c r="G588" s="13" t="s">
        <v>20</v>
      </c>
      <c r="H588" s="18">
        <v>190</v>
      </c>
      <c r="I588" s="13" t="s">
        <v>21</v>
      </c>
      <c r="J588" s="13" t="s">
        <v>683</v>
      </c>
      <c r="K588" s="13"/>
      <c r="L588" s="17"/>
      <c r="M588" s="13" t="s">
        <v>416</v>
      </c>
      <c r="N588" s="17"/>
      <c r="O588" s="13" t="s">
        <v>417</v>
      </c>
      <c r="P588" s="13">
        <v>1</v>
      </c>
    </row>
    <row r="589" spans="1:16">
      <c r="A589" s="10">
        <v>586</v>
      </c>
      <c r="B589" s="13" t="s">
        <v>963</v>
      </c>
      <c r="C589" s="13" t="s">
        <v>964</v>
      </c>
      <c r="D589" s="13" t="str">
        <f t="shared" si="47"/>
        <v>513021********044X</v>
      </c>
      <c r="E589" s="13" t="str">
        <f t="shared" si="48"/>
        <v>女</v>
      </c>
      <c r="F589" s="17">
        <f ca="1" t="shared" si="49"/>
        <v>74</v>
      </c>
      <c r="G589" s="13" t="s">
        <v>20</v>
      </c>
      <c r="H589" s="18">
        <v>190</v>
      </c>
      <c r="I589" s="13" t="s">
        <v>21</v>
      </c>
      <c r="J589" s="13" t="s">
        <v>683</v>
      </c>
      <c r="K589" s="13"/>
      <c r="L589" s="17"/>
      <c r="M589" s="13" t="s">
        <v>416</v>
      </c>
      <c r="N589" s="17"/>
      <c r="O589" s="13" t="s">
        <v>417</v>
      </c>
      <c r="P589" s="13">
        <v>1</v>
      </c>
    </row>
    <row r="590" spans="1:16">
      <c r="A590" s="10">
        <v>587</v>
      </c>
      <c r="B590" s="13" t="s">
        <v>965</v>
      </c>
      <c r="C590" s="13" t="str">
        <f>"511721200305160038"</f>
        <v>511721200305160038</v>
      </c>
      <c r="D590" s="13" t="str">
        <f t="shared" si="47"/>
        <v>511721********0038</v>
      </c>
      <c r="E590" s="13" t="str">
        <f t="shared" si="48"/>
        <v>男</v>
      </c>
      <c r="F590" s="17">
        <f ca="1" t="shared" si="49"/>
        <v>21</v>
      </c>
      <c r="G590" s="13" t="s">
        <v>20</v>
      </c>
      <c r="H590" s="18">
        <v>240</v>
      </c>
      <c r="I590" s="13" t="s">
        <v>21</v>
      </c>
      <c r="J590" s="13" t="s">
        <v>683</v>
      </c>
      <c r="K590" s="13"/>
      <c r="L590" s="17"/>
      <c r="M590" s="13" t="s">
        <v>416</v>
      </c>
      <c r="N590" s="17" t="s">
        <v>34</v>
      </c>
      <c r="O590" s="13" t="s">
        <v>417</v>
      </c>
      <c r="P590" s="13">
        <v>1</v>
      </c>
    </row>
    <row r="591" spans="1:16">
      <c r="A591" s="10">
        <v>588</v>
      </c>
      <c r="B591" s="13" t="s">
        <v>896</v>
      </c>
      <c r="C591" s="13" t="str">
        <f>"513021195607100444"</f>
        <v>513021195607100444</v>
      </c>
      <c r="D591" s="13" t="str">
        <f t="shared" si="47"/>
        <v>513021********0444</v>
      </c>
      <c r="E591" s="13" t="str">
        <f t="shared" si="48"/>
        <v>女</v>
      </c>
      <c r="F591" s="17">
        <f ca="1" t="shared" si="49"/>
        <v>68</v>
      </c>
      <c r="G591" s="13" t="s">
        <v>20</v>
      </c>
      <c r="H591" s="18">
        <v>240</v>
      </c>
      <c r="I591" s="13" t="s">
        <v>21</v>
      </c>
      <c r="J591" s="13" t="s">
        <v>683</v>
      </c>
      <c r="K591" s="13"/>
      <c r="L591" s="17"/>
      <c r="M591" s="13" t="s">
        <v>416</v>
      </c>
      <c r="N591" s="17"/>
      <c r="O591" s="13" t="s">
        <v>417</v>
      </c>
      <c r="P591" s="13">
        <v>1</v>
      </c>
    </row>
    <row r="592" spans="1:16">
      <c r="A592" s="10">
        <v>589</v>
      </c>
      <c r="B592" s="13" t="s">
        <v>966</v>
      </c>
      <c r="C592" s="13" t="str">
        <f>"513021195812070440"</f>
        <v>513021195812070440</v>
      </c>
      <c r="D592" s="13" t="str">
        <f t="shared" si="47"/>
        <v>513021********0440</v>
      </c>
      <c r="E592" s="13" t="str">
        <f t="shared" si="48"/>
        <v>女</v>
      </c>
      <c r="F592" s="17">
        <f ca="1" t="shared" si="49"/>
        <v>66</v>
      </c>
      <c r="G592" s="13" t="s">
        <v>20</v>
      </c>
      <c r="H592" s="18">
        <v>240</v>
      </c>
      <c r="I592" s="13" t="s">
        <v>21</v>
      </c>
      <c r="J592" s="13" t="s">
        <v>683</v>
      </c>
      <c r="K592" s="13"/>
      <c r="L592" s="17" t="str">
        <f>VLOOKUP(C592,[1]Sheet1!$B$2:$U$630,20,0)</f>
        <v>肢体三级;</v>
      </c>
      <c r="M592" s="13" t="s">
        <v>416</v>
      </c>
      <c r="N592" s="17"/>
      <c r="O592" s="13" t="s">
        <v>417</v>
      </c>
      <c r="P592" s="13">
        <v>1</v>
      </c>
    </row>
    <row r="593" spans="1:16">
      <c r="A593" s="10">
        <v>590</v>
      </c>
      <c r="B593" s="13" t="s">
        <v>967</v>
      </c>
      <c r="C593" s="13" t="str">
        <f>"513021194710170446"</f>
        <v>513021194710170446</v>
      </c>
      <c r="D593" s="13" t="str">
        <f t="shared" si="47"/>
        <v>513021********0446</v>
      </c>
      <c r="E593" s="13" t="str">
        <f t="shared" si="48"/>
        <v>女</v>
      </c>
      <c r="F593" s="17">
        <f ca="1" t="shared" si="49"/>
        <v>77</v>
      </c>
      <c r="G593" s="13" t="s">
        <v>20</v>
      </c>
      <c r="H593" s="18">
        <v>240</v>
      </c>
      <c r="I593" s="13" t="s">
        <v>21</v>
      </c>
      <c r="J593" s="13" t="s">
        <v>683</v>
      </c>
      <c r="K593" s="13"/>
      <c r="L593" s="17"/>
      <c r="M593" s="13" t="s">
        <v>416</v>
      </c>
      <c r="N593" s="17"/>
      <c r="O593" s="13" t="s">
        <v>417</v>
      </c>
      <c r="P593" s="13">
        <v>1</v>
      </c>
    </row>
    <row r="594" spans="1:16">
      <c r="A594" s="10">
        <v>591</v>
      </c>
      <c r="B594" s="13" t="s">
        <v>968</v>
      </c>
      <c r="C594" s="13" t="str">
        <f>"513021196305140453"</f>
        <v>513021196305140453</v>
      </c>
      <c r="D594" s="13" t="str">
        <f t="shared" si="47"/>
        <v>513021********0453</v>
      </c>
      <c r="E594" s="13" t="str">
        <f t="shared" si="48"/>
        <v>男</v>
      </c>
      <c r="F594" s="17">
        <f ca="1" t="shared" si="49"/>
        <v>61</v>
      </c>
      <c r="G594" s="13" t="s">
        <v>20</v>
      </c>
      <c r="H594" s="18">
        <v>240</v>
      </c>
      <c r="I594" s="13" t="s">
        <v>21</v>
      </c>
      <c r="J594" s="13" t="s">
        <v>683</v>
      </c>
      <c r="K594" s="13"/>
      <c r="L594" s="17"/>
      <c r="M594" s="13" t="s">
        <v>416</v>
      </c>
      <c r="N594" s="17"/>
      <c r="O594" s="13" t="s">
        <v>417</v>
      </c>
      <c r="P594" s="13">
        <v>1</v>
      </c>
    </row>
    <row r="595" spans="1:16">
      <c r="A595" s="10">
        <v>592</v>
      </c>
      <c r="B595" s="13" t="s">
        <v>969</v>
      </c>
      <c r="C595" s="13" t="str">
        <f>"513021196706150441"</f>
        <v>513021196706150441</v>
      </c>
      <c r="D595" s="13" t="str">
        <f t="shared" si="47"/>
        <v>513021********0441</v>
      </c>
      <c r="E595" s="13" t="str">
        <f t="shared" si="48"/>
        <v>女</v>
      </c>
      <c r="F595" s="17">
        <f ca="1" t="shared" si="49"/>
        <v>57</v>
      </c>
      <c r="G595" s="13" t="s">
        <v>20</v>
      </c>
      <c r="H595" s="18">
        <v>240</v>
      </c>
      <c r="I595" s="13" t="s">
        <v>21</v>
      </c>
      <c r="J595" s="13" t="s">
        <v>683</v>
      </c>
      <c r="K595" s="13"/>
      <c r="L595" s="17"/>
      <c r="M595" s="13" t="s">
        <v>416</v>
      </c>
      <c r="N595" s="17"/>
      <c r="O595" s="13" t="s">
        <v>417</v>
      </c>
      <c r="P595" s="13">
        <v>1</v>
      </c>
    </row>
    <row r="596" spans="1:16">
      <c r="A596" s="10">
        <v>593</v>
      </c>
      <c r="B596" s="13" t="s">
        <v>970</v>
      </c>
      <c r="C596" s="13" t="str">
        <f>"513021198902100459"</f>
        <v>513021198902100459</v>
      </c>
      <c r="D596" s="13" t="str">
        <f t="shared" si="47"/>
        <v>513021********0459</v>
      </c>
      <c r="E596" s="13" t="str">
        <f t="shared" si="48"/>
        <v>男</v>
      </c>
      <c r="F596" s="17">
        <f ca="1" t="shared" si="49"/>
        <v>35</v>
      </c>
      <c r="G596" s="13" t="s">
        <v>20</v>
      </c>
      <c r="H596" s="18">
        <v>240</v>
      </c>
      <c r="I596" s="13" t="s">
        <v>21</v>
      </c>
      <c r="J596" s="13" t="s">
        <v>683</v>
      </c>
      <c r="K596" s="13"/>
      <c r="L596" s="17" t="str">
        <f>VLOOKUP(C596,[1]Sheet1!$B$2:$U$630,20,0)</f>
        <v>肢体三级;</v>
      </c>
      <c r="M596" s="13" t="s">
        <v>416</v>
      </c>
      <c r="N596" s="17" t="s">
        <v>34</v>
      </c>
      <c r="O596" s="13" t="s">
        <v>417</v>
      </c>
      <c r="P596" s="13">
        <v>1</v>
      </c>
    </row>
    <row r="597" spans="1:16">
      <c r="A597" s="10">
        <v>594</v>
      </c>
      <c r="B597" s="13" t="s">
        <v>971</v>
      </c>
      <c r="C597" s="13" t="str">
        <f>"511721200412255710"</f>
        <v>511721200412255710</v>
      </c>
      <c r="D597" s="13" t="str">
        <f t="shared" si="47"/>
        <v>511721********5710</v>
      </c>
      <c r="E597" s="13" t="str">
        <f t="shared" si="48"/>
        <v>男</v>
      </c>
      <c r="F597" s="17">
        <f ca="1" t="shared" si="49"/>
        <v>20</v>
      </c>
      <c r="G597" s="13" t="s">
        <v>20</v>
      </c>
      <c r="H597" s="18">
        <v>240</v>
      </c>
      <c r="I597" s="13" t="s">
        <v>21</v>
      </c>
      <c r="J597" s="13" t="s">
        <v>683</v>
      </c>
      <c r="K597" s="13"/>
      <c r="L597" s="17"/>
      <c r="M597" s="13" t="s">
        <v>416</v>
      </c>
      <c r="N597" s="17"/>
      <c r="O597" s="13" t="s">
        <v>417</v>
      </c>
      <c r="P597" s="13">
        <v>1</v>
      </c>
    </row>
    <row r="598" spans="1:16">
      <c r="A598" s="10">
        <v>595</v>
      </c>
      <c r="B598" s="13" t="s">
        <v>972</v>
      </c>
      <c r="C598" s="13" t="str">
        <f>"513021197607110975"</f>
        <v>513021197607110975</v>
      </c>
      <c r="D598" s="13" t="str">
        <f t="shared" si="47"/>
        <v>513021********0975</v>
      </c>
      <c r="E598" s="13" t="str">
        <f t="shared" si="48"/>
        <v>男</v>
      </c>
      <c r="F598" s="17">
        <f ca="1" t="shared" si="49"/>
        <v>48</v>
      </c>
      <c r="G598" s="13" t="s">
        <v>20</v>
      </c>
      <c r="H598" s="18">
        <v>240</v>
      </c>
      <c r="I598" s="13" t="s">
        <v>21</v>
      </c>
      <c r="J598" s="13" t="s">
        <v>973</v>
      </c>
      <c r="K598" s="13"/>
      <c r="L598" s="17" t="str">
        <f>VLOOKUP(C598,[1]Sheet1!$B$2:$U$630,20,0)</f>
        <v>肢体二级;</v>
      </c>
      <c r="M598" s="13" t="s">
        <v>416</v>
      </c>
      <c r="N598" s="17" t="s">
        <v>34</v>
      </c>
      <c r="O598" s="13" t="s">
        <v>417</v>
      </c>
      <c r="P598" s="13">
        <v>1</v>
      </c>
    </row>
    <row r="599" spans="1:16">
      <c r="A599" s="10">
        <v>596</v>
      </c>
      <c r="B599" s="13" t="s">
        <v>974</v>
      </c>
      <c r="C599" s="43" t="s">
        <v>975</v>
      </c>
      <c r="D599" s="13" t="str">
        <f t="shared" si="47"/>
        <v>513021********0969</v>
      </c>
      <c r="E599" s="13" t="str">
        <f t="shared" si="48"/>
        <v>女</v>
      </c>
      <c r="F599" s="17">
        <f ca="1" t="shared" si="49"/>
        <v>68</v>
      </c>
      <c r="G599" s="13" t="s">
        <v>20</v>
      </c>
      <c r="H599" s="18">
        <v>220</v>
      </c>
      <c r="I599" s="13" t="s">
        <v>21</v>
      </c>
      <c r="J599" s="13" t="s">
        <v>973</v>
      </c>
      <c r="K599" s="13"/>
      <c r="L599" s="17"/>
      <c r="M599" s="13" t="s">
        <v>416</v>
      </c>
      <c r="N599" s="17"/>
      <c r="O599" s="13" t="s">
        <v>23</v>
      </c>
      <c r="P599" s="13">
        <v>1</v>
      </c>
    </row>
    <row r="600" spans="1:16">
      <c r="A600" s="10">
        <v>597</v>
      </c>
      <c r="B600" s="13" t="s">
        <v>976</v>
      </c>
      <c r="C600" s="13" t="str">
        <f>"513021195212290458"</f>
        <v>513021195212290458</v>
      </c>
      <c r="D600" s="13" t="str">
        <f t="shared" si="47"/>
        <v>513021********0458</v>
      </c>
      <c r="E600" s="13" t="str">
        <f t="shared" ref="E600:E652" si="50">IF(MOD(MID(C600,17,1),2)=1,"男","女")</f>
        <v>男</v>
      </c>
      <c r="F600" s="17">
        <f ca="1" t="shared" si="49"/>
        <v>72</v>
      </c>
      <c r="G600" s="13" t="s">
        <v>20</v>
      </c>
      <c r="H600" s="18">
        <v>220</v>
      </c>
      <c r="I600" s="13" t="s">
        <v>21</v>
      </c>
      <c r="J600" s="13" t="s">
        <v>973</v>
      </c>
      <c r="K600" s="13"/>
      <c r="L600" s="17" t="str">
        <f>VLOOKUP(C600,[1]Sheet1!$B$2:$U$630,20,0)</f>
        <v>听力一级;言语一级;</v>
      </c>
      <c r="M600" s="13" t="s">
        <v>416</v>
      </c>
      <c r="N600" s="17" t="s">
        <v>34</v>
      </c>
      <c r="O600" s="13"/>
      <c r="P600" s="13">
        <v>4</v>
      </c>
    </row>
    <row r="601" ht="15.6" spans="1:16">
      <c r="A601" s="10">
        <v>598</v>
      </c>
      <c r="B601" s="34" t="s">
        <v>977</v>
      </c>
      <c r="C601" s="34" t="s">
        <v>978</v>
      </c>
      <c r="D601" s="13" t="str">
        <f t="shared" si="47"/>
        <v>513021********0028</v>
      </c>
      <c r="E601" s="13" t="str">
        <f t="shared" si="50"/>
        <v>女</v>
      </c>
      <c r="F601" s="17">
        <f ca="1" t="shared" si="49"/>
        <v>73</v>
      </c>
      <c r="G601" s="13" t="s">
        <v>37</v>
      </c>
      <c r="H601" s="20"/>
      <c r="I601" s="13" t="s">
        <v>21</v>
      </c>
      <c r="J601" s="13" t="s">
        <v>973</v>
      </c>
      <c r="K601" s="13"/>
      <c r="L601" s="17"/>
      <c r="M601" s="13" t="s">
        <v>416</v>
      </c>
      <c r="N601" s="17" t="s">
        <v>34</v>
      </c>
      <c r="O601" s="13"/>
      <c r="P601" s="13"/>
    </row>
    <row r="602" ht="15.6" spans="1:16">
      <c r="A602" s="10">
        <v>599</v>
      </c>
      <c r="B602" s="34" t="s">
        <v>979</v>
      </c>
      <c r="C602" s="34" t="s">
        <v>980</v>
      </c>
      <c r="D602" s="13" t="str">
        <f t="shared" si="47"/>
        <v>513021********0458</v>
      </c>
      <c r="E602" s="13" t="str">
        <f t="shared" si="50"/>
        <v>男</v>
      </c>
      <c r="F602" s="17">
        <f ca="1" t="shared" si="49"/>
        <v>49</v>
      </c>
      <c r="G602" s="13" t="s">
        <v>429</v>
      </c>
      <c r="H602" s="20"/>
      <c r="I602" s="13" t="s">
        <v>21</v>
      </c>
      <c r="J602" s="13" t="s">
        <v>973</v>
      </c>
      <c r="K602" s="13"/>
      <c r="L602" s="17"/>
      <c r="M602" s="13" t="s">
        <v>416</v>
      </c>
      <c r="N602" s="17" t="s">
        <v>34</v>
      </c>
      <c r="O602" s="13"/>
      <c r="P602" s="13"/>
    </row>
    <row r="603" ht="15.6" spans="1:16">
      <c r="A603" s="10">
        <v>600</v>
      </c>
      <c r="B603" s="34" t="s">
        <v>981</v>
      </c>
      <c r="C603" s="34" t="s">
        <v>982</v>
      </c>
      <c r="D603" s="13" t="str">
        <f t="shared" si="47"/>
        <v>513021********045X</v>
      </c>
      <c r="E603" s="13" t="str">
        <f t="shared" si="50"/>
        <v>男</v>
      </c>
      <c r="F603" s="17">
        <f ca="1" t="shared" si="49"/>
        <v>30</v>
      </c>
      <c r="G603" s="13" t="s">
        <v>469</v>
      </c>
      <c r="H603" s="20"/>
      <c r="I603" s="13" t="s">
        <v>21</v>
      </c>
      <c r="J603" s="13" t="s">
        <v>973</v>
      </c>
      <c r="K603" s="13"/>
      <c r="L603" s="17"/>
      <c r="M603" s="13" t="s">
        <v>416</v>
      </c>
      <c r="N603" s="17" t="s">
        <v>34</v>
      </c>
      <c r="O603" s="13"/>
      <c r="P603" s="13"/>
    </row>
    <row r="604" spans="1:16">
      <c r="A604" s="10">
        <v>601</v>
      </c>
      <c r="B604" s="13" t="s">
        <v>983</v>
      </c>
      <c r="C604" s="13" t="str">
        <f>"513021196205010440"</f>
        <v>513021196205010440</v>
      </c>
      <c r="D604" s="13" t="str">
        <f t="shared" si="47"/>
        <v>513021********0440</v>
      </c>
      <c r="E604" s="13" t="str">
        <f t="shared" si="50"/>
        <v>女</v>
      </c>
      <c r="F604" s="17">
        <f ca="1" t="shared" si="49"/>
        <v>62</v>
      </c>
      <c r="G604" s="13" t="s">
        <v>20</v>
      </c>
      <c r="H604" s="18">
        <v>240</v>
      </c>
      <c r="I604" s="13" t="s">
        <v>21</v>
      </c>
      <c r="J604" s="13" t="s">
        <v>973</v>
      </c>
      <c r="K604" s="13"/>
      <c r="L604" s="17"/>
      <c r="M604" s="13" t="s">
        <v>416</v>
      </c>
      <c r="N604" s="17"/>
      <c r="O604" s="13" t="s">
        <v>417</v>
      </c>
      <c r="P604" s="13">
        <v>1</v>
      </c>
    </row>
    <row r="605" ht="15.6" spans="1:16">
      <c r="A605" s="10">
        <v>602</v>
      </c>
      <c r="B605" s="34" t="s">
        <v>984</v>
      </c>
      <c r="C605" s="34" t="s">
        <v>985</v>
      </c>
      <c r="D605" s="13" t="str">
        <f t="shared" si="47"/>
        <v>513021********0441</v>
      </c>
      <c r="E605" s="13" t="str">
        <f t="shared" si="50"/>
        <v>女</v>
      </c>
      <c r="F605" s="17">
        <f ca="1" t="shared" si="49"/>
        <v>76</v>
      </c>
      <c r="G605" s="13" t="s">
        <v>20</v>
      </c>
      <c r="H605" s="18">
        <v>240</v>
      </c>
      <c r="I605" s="13" t="s">
        <v>21</v>
      </c>
      <c r="J605" s="13" t="s">
        <v>973</v>
      </c>
      <c r="K605" s="13"/>
      <c r="L605" s="17" t="str">
        <f>VLOOKUP(C605,[1]Sheet1!$B$2:$U$630,20,0)</f>
        <v>肢体四级;</v>
      </c>
      <c r="M605" s="13" t="s">
        <v>416</v>
      </c>
      <c r="N605" s="17" t="s">
        <v>34</v>
      </c>
      <c r="O605" s="13"/>
      <c r="P605" s="13">
        <v>1</v>
      </c>
    </row>
    <row r="606" spans="1:16">
      <c r="A606" s="10">
        <v>603</v>
      </c>
      <c r="B606" s="13" t="s">
        <v>986</v>
      </c>
      <c r="C606" s="13" t="s">
        <v>987</v>
      </c>
      <c r="D606" s="13" t="str">
        <f t="shared" si="47"/>
        <v>511721********571X</v>
      </c>
      <c r="E606" s="13" t="str">
        <f t="shared" si="50"/>
        <v>男</v>
      </c>
      <c r="F606" s="17">
        <f ca="1" t="shared" si="49"/>
        <v>24</v>
      </c>
      <c r="G606" s="13" t="s">
        <v>20</v>
      </c>
      <c r="H606" s="18">
        <v>440</v>
      </c>
      <c r="I606" s="13" t="s">
        <v>21</v>
      </c>
      <c r="J606" s="13" t="s">
        <v>973</v>
      </c>
      <c r="K606" s="13"/>
      <c r="L606" s="17" t="str">
        <f>VLOOKUP(C606,[1]Sheet1!$B$2:$U$630,20,0)</f>
        <v>言语二级;</v>
      </c>
      <c r="M606" s="13" t="s">
        <v>416</v>
      </c>
      <c r="N606" s="17" t="s">
        <v>34</v>
      </c>
      <c r="O606" s="13"/>
      <c r="P606" s="13">
        <v>6</v>
      </c>
    </row>
    <row r="607" ht="15.6" spans="1:16">
      <c r="A607" s="10">
        <v>604</v>
      </c>
      <c r="B607" s="34" t="s">
        <v>988</v>
      </c>
      <c r="C607" s="34" t="s">
        <v>989</v>
      </c>
      <c r="D607" s="13" t="str">
        <f t="shared" si="47"/>
        <v>513021********0456</v>
      </c>
      <c r="E607" s="13" t="str">
        <f t="shared" si="50"/>
        <v>男</v>
      </c>
      <c r="F607" s="17">
        <f ca="1" t="shared" si="49"/>
        <v>80</v>
      </c>
      <c r="G607" s="13" t="s">
        <v>469</v>
      </c>
      <c r="H607" s="20"/>
      <c r="I607" s="13" t="s">
        <v>21</v>
      </c>
      <c r="J607" s="13" t="s">
        <v>973</v>
      </c>
      <c r="K607" s="13"/>
      <c r="L607" s="17"/>
      <c r="M607" s="13" t="s">
        <v>416</v>
      </c>
      <c r="N607" s="17" t="s">
        <v>34</v>
      </c>
      <c r="O607" s="13"/>
      <c r="P607" s="13"/>
    </row>
    <row r="608" ht="15.6" spans="1:16">
      <c r="A608" s="10">
        <v>605</v>
      </c>
      <c r="B608" s="34" t="s">
        <v>990</v>
      </c>
      <c r="C608" s="34" t="s">
        <v>991</v>
      </c>
      <c r="D608" s="13" t="str">
        <f t="shared" si="47"/>
        <v>513021********0457</v>
      </c>
      <c r="E608" s="13" t="str">
        <f t="shared" si="50"/>
        <v>男</v>
      </c>
      <c r="F608" s="17">
        <f ca="1" t="shared" si="49"/>
        <v>53</v>
      </c>
      <c r="G608" s="13" t="s">
        <v>429</v>
      </c>
      <c r="H608" s="20"/>
      <c r="I608" s="13" t="s">
        <v>21</v>
      </c>
      <c r="J608" s="13" t="s">
        <v>973</v>
      </c>
      <c r="K608" s="13"/>
      <c r="L608" s="17"/>
      <c r="M608" s="13" t="s">
        <v>416</v>
      </c>
      <c r="N608" s="17" t="s">
        <v>34</v>
      </c>
      <c r="O608" s="13"/>
      <c r="P608" s="13"/>
    </row>
    <row r="609" ht="15.6" spans="1:16">
      <c r="A609" s="10">
        <v>606</v>
      </c>
      <c r="B609" s="34" t="s">
        <v>992</v>
      </c>
      <c r="C609" s="34" t="s">
        <v>993</v>
      </c>
      <c r="D609" s="13" t="str">
        <f t="shared" si="47"/>
        <v>513021********0448</v>
      </c>
      <c r="E609" s="13" t="str">
        <f t="shared" si="50"/>
        <v>女</v>
      </c>
      <c r="F609" s="17">
        <f ca="1" t="shared" si="49"/>
        <v>56</v>
      </c>
      <c r="G609" s="13" t="s">
        <v>994</v>
      </c>
      <c r="H609" s="20"/>
      <c r="I609" s="13" t="s">
        <v>21</v>
      </c>
      <c r="J609" s="13" t="s">
        <v>973</v>
      </c>
      <c r="K609" s="13"/>
      <c r="L609" s="17"/>
      <c r="M609" s="13" t="s">
        <v>416</v>
      </c>
      <c r="N609" s="17" t="s">
        <v>34</v>
      </c>
      <c r="O609" s="13"/>
      <c r="P609" s="13"/>
    </row>
    <row r="610" ht="15.6" spans="1:16">
      <c r="A610" s="10">
        <v>607</v>
      </c>
      <c r="B610" s="34" t="s">
        <v>995</v>
      </c>
      <c r="C610" s="34" t="s">
        <v>996</v>
      </c>
      <c r="D610" s="13" t="str">
        <f t="shared" si="47"/>
        <v>513021********0885</v>
      </c>
      <c r="E610" s="13" t="str">
        <f t="shared" si="50"/>
        <v>女</v>
      </c>
      <c r="F610" s="17">
        <f ca="1" t="shared" si="49"/>
        <v>49</v>
      </c>
      <c r="G610" s="13" t="s">
        <v>434</v>
      </c>
      <c r="H610" s="20"/>
      <c r="I610" s="13" t="s">
        <v>21</v>
      </c>
      <c r="J610" s="13" t="s">
        <v>973</v>
      </c>
      <c r="K610" s="13"/>
      <c r="L610" s="17"/>
      <c r="M610" s="13" t="s">
        <v>416</v>
      </c>
      <c r="N610" s="17" t="s">
        <v>34</v>
      </c>
      <c r="O610" s="13"/>
      <c r="P610" s="13"/>
    </row>
    <row r="611" ht="15.6" spans="1:16">
      <c r="A611" s="10">
        <v>608</v>
      </c>
      <c r="B611" s="34" t="s">
        <v>997</v>
      </c>
      <c r="C611" s="34" t="s">
        <v>998</v>
      </c>
      <c r="D611" s="13" t="str">
        <f t="shared" si="47"/>
        <v>511721********5724</v>
      </c>
      <c r="E611" s="13" t="str">
        <f t="shared" si="50"/>
        <v>女</v>
      </c>
      <c r="F611" s="17">
        <f ca="1" t="shared" si="49"/>
        <v>18</v>
      </c>
      <c r="G611" s="13" t="s">
        <v>614</v>
      </c>
      <c r="H611" s="20"/>
      <c r="I611" s="13" t="s">
        <v>21</v>
      </c>
      <c r="J611" s="13" t="s">
        <v>973</v>
      </c>
      <c r="K611" s="13"/>
      <c r="L611" s="17"/>
      <c r="M611" s="13" t="s">
        <v>416</v>
      </c>
      <c r="N611" s="17" t="s">
        <v>34</v>
      </c>
      <c r="O611" s="13"/>
      <c r="P611" s="13"/>
    </row>
    <row r="612" spans="1:16">
      <c r="A612" s="10">
        <v>609</v>
      </c>
      <c r="B612" s="13" t="s">
        <v>999</v>
      </c>
      <c r="C612" s="13" t="str">
        <f>"513021196511260456"</f>
        <v>513021196511260456</v>
      </c>
      <c r="D612" s="13" t="str">
        <f t="shared" si="47"/>
        <v>513021********0456</v>
      </c>
      <c r="E612" s="13" t="str">
        <f t="shared" si="50"/>
        <v>男</v>
      </c>
      <c r="F612" s="17">
        <f ca="1" t="shared" si="49"/>
        <v>59</v>
      </c>
      <c r="G612" s="13" t="s">
        <v>20</v>
      </c>
      <c r="H612" s="18">
        <v>220</v>
      </c>
      <c r="I612" s="13" t="s">
        <v>21</v>
      </c>
      <c r="J612" s="13" t="s">
        <v>973</v>
      </c>
      <c r="K612" s="13"/>
      <c r="L612" s="17"/>
      <c r="M612" s="13" t="s">
        <v>416</v>
      </c>
      <c r="N612" s="17" t="s">
        <v>34</v>
      </c>
      <c r="O612" s="13"/>
      <c r="P612" s="13">
        <v>3</v>
      </c>
    </row>
    <row r="613" ht="15.6" spans="1:16">
      <c r="A613" s="10">
        <v>610</v>
      </c>
      <c r="B613" s="34" t="s">
        <v>1000</v>
      </c>
      <c r="C613" s="34" t="s">
        <v>1001</v>
      </c>
      <c r="D613" s="13" t="str">
        <f t="shared" si="47"/>
        <v>513021********064X</v>
      </c>
      <c r="E613" s="13" t="str">
        <f t="shared" si="50"/>
        <v>女</v>
      </c>
      <c r="F613" s="17">
        <f ca="1" t="shared" si="49"/>
        <v>58</v>
      </c>
      <c r="G613" s="13" t="s">
        <v>37</v>
      </c>
      <c r="H613" s="20"/>
      <c r="I613" s="13" t="s">
        <v>21</v>
      </c>
      <c r="J613" s="13" t="s">
        <v>973</v>
      </c>
      <c r="K613" s="13"/>
      <c r="L613" s="17"/>
      <c r="M613" s="13" t="s">
        <v>416</v>
      </c>
      <c r="N613" s="17" t="s">
        <v>34</v>
      </c>
      <c r="O613" s="13"/>
      <c r="P613" s="13"/>
    </row>
    <row r="614" ht="15.6" spans="1:16">
      <c r="A614" s="10">
        <v>611</v>
      </c>
      <c r="B614" s="34" t="s">
        <v>1002</v>
      </c>
      <c r="C614" s="34" t="s">
        <v>1003</v>
      </c>
      <c r="D614" s="13" t="str">
        <f t="shared" si="47"/>
        <v>511721********5720</v>
      </c>
      <c r="E614" s="13" t="str">
        <f t="shared" si="50"/>
        <v>女</v>
      </c>
      <c r="F614" s="17">
        <f ca="1" t="shared" si="49"/>
        <v>10</v>
      </c>
      <c r="G614" s="13" t="s">
        <v>469</v>
      </c>
      <c r="H614" s="20"/>
      <c r="I614" s="13" t="s">
        <v>21</v>
      </c>
      <c r="J614" s="13" t="s">
        <v>973</v>
      </c>
      <c r="K614" s="13"/>
      <c r="L614" s="17"/>
      <c r="M614" s="13" t="s">
        <v>416</v>
      </c>
      <c r="N614" s="17" t="s">
        <v>34</v>
      </c>
      <c r="O614" s="13"/>
      <c r="P614" s="13"/>
    </row>
    <row r="615" spans="1:16">
      <c r="A615" s="10">
        <v>612</v>
      </c>
      <c r="B615" s="13" t="s">
        <v>1004</v>
      </c>
      <c r="C615" s="13" t="str">
        <f>"513021193609210445"</f>
        <v>513021193609210445</v>
      </c>
      <c r="D615" s="13" t="str">
        <f t="shared" si="47"/>
        <v>513021********0445</v>
      </c>
      <c r="E615" s="13" t="str">
        <f t="shared" si="50"/>
        <v>女</v>
      </c>
      <c r="F615" s="17">
        <f ca="1" t="shared" si="49"/>
        <v>88</v>
      </c>
      <c r="G615" s="13" t="s">
        <v>20</v>
      </c>
      <c r="H615" s="18">
        <v>220</v>
      </c>
      <c r="I615" s="13" t="s">
        <v>21</v>
      </c>
      <c r="J615" s="13" t="s">
        <v>973</v>
      </c>
      <c r="K615" s="13"/>
      <c r="L615" s="17"/>
      <c r="M615" s="13" t="s">
        <v>416</v>
      </c>
      <c r="N615" s="17" t="s">
        <v>34</v>
      </c>
      <c r="O615" s="13"/>
      <c r="P615" s="13">
        <v>3</v>
      </c>
    </row>
    <row r="616" ht="15.6" spans="1:16">
      <c r="A616" s="10">
        <v>613</v>
      </c>
      <c r="B616" s="34" t="s">
        <v>1005</v>
      </c>
      <c r="C616" s="34" t="s">
        <v>1006</v>
      </c>
      <c r="D616" s="13" t="str">
        <f t="shared" si="47"/>
        <v>513021********0458</v>
      </c>
      <c r="E616" s="13" t="str">
        <f t="shared" si="50"/>
        <v>男</v>
      </c>
      <c r="F616" s="17">
        <f ca="1" t="shared" si="49"/>
        <v>49</v>
      </c>
      <c r="G616" s="13" t="s">
        <v>434</v>
      </c>
      <c r="H616" s="20"/>
      <c r="I616" s="13" t="s">
        <v>21</v>
      </c>
      <c r="J616" s="13" t="s">
        <v>973</v>
      </c>
      <c r="K616" s="13"/>
      <c r="L616" s="17"/>
      <c r="M616" s="13" t="s">
        <v>416</v>
      </c>
      <c r="N616" s="17" t="s">
        <v>34</v>
      </c>
      <c r="O616" s="13"/>
      <c r="P616" s="13"/>
    </row>
    <row r="617" ht="15.6" spans="1:16">
      <c r="A617" s="10">
        <v>614</v>
      </c>
      <c r="B617" s="34" t="s">
        <v>1007</v>
      </c>
      <c r="C617" s="34" t="s">
        <v>1008</v>
      </c>
      <c r="D617" s="13" t="str">
        <f t="shared" si="47"/>
        <v>511721********5729</v>
      </c>
      <c r="E617" s="13" t="str">
        <f t="shared" si="50"/>
        <v>女</v>
      </c>
      <c r="F617" s="17">
        <f ca="1" t="shared" si="49"/>
        <v>20</v>
      </c>
      <c r="G617" s="13" t="s">
        <v>563</v>
      </c>
      <c r="H617" s="20"/>
      <c r="I617" s="13" t="s">
        <v>21</v>
      </c>
      <c r="J617" s="13" t="s">
        <v>973</v>
      </c>
      <c r="K617" s="13"/>
      <c r="L617" s="17"/>
      <c r="M617" s="13" t="s">
        <v>416</v>
      </c>
      <c r="N617" s="17" t="s">
        <v>34</v>
      </c>
      <c r="O617" s="13"/>
      <c r="P617" s="13"/>
    </row>
    <row r="618" spans="1:16">
      <c r="A618" s="10">
        <v>615</v>
      </c>
      <c r="B618" s="13" t="s">
        <v>1009</v>
      </c>
      <c r="C618" s="13" t="str">
        <f>"513021194604290970"</f>
        <v>513021194604290970</v>
      </c>
      <c r="D618" s="13" t="str">
        <f t="shared" si="47"/>
        <v>513021********0970</v>
      </c>
      <c r="E618" s="13" t="str">
        <f t="shared" si="50"/>
        <v>男</v>
      </c>
      <c r="F618" s="17">
        <f ca="1" t="shared" si="49"/>
        <v>78</v>
      </c>
      <c r="G618" s="13" t="s">
        <v>20</v>
      </c>
      <c r="H618" s="18">
        <v>220</v>
      </c>
      <c r="I618" s="13" t="s">
        <v>21</v>
      </c>
      <c r="J618" s="13" t="s">
        <v>973</v>
      </c>
      <c r="K618" s="13"/>
      <c r="L618" s="17"/>
      <c r="M618" s="13" t="s">
        <v>416</v>
      </c>
      <c r="N618" s="17" t="s">
        <v>34</v>
      </c>
      <c r="O618" s="13"/>
      <c r="P618" s="13">
        <v>4</v>
      </c>
    </row>
    <row r="619" ht="15.6" spans="1:16">
      <c r="A619" s="10">
        <v>616</v>
      </c>
      <c r="B619" s="34" t="s">
        <v>1010</v>
      </c>
      <c r="C619" s="34" t="s">
        <v>1011</v>
      </c>
      <c r="D619" s="13" t="str">
        <f t="shared" si="47"/>
        <v>513021********0972</v>
      </c>
      <c r="E619" s="13" t="str">
        <f t="shared" si="50"/>
        <v>男</v>
      </c>
      <c r="F619" s="17">
        <f ca="1" t="shared" si="49"/>
        <v>54</v>
      </c>
      <c r="G619" s="13" t="s">
        <v>429</v>
      </c>
      <c r="H619" s="20"/>
      <c r="I619" s="13" t="s">
        <v>21</v>
      </c>
      <c r="J619" s="13" t="s">
        <v>973</v>
      </c>
      <c r="K619" s="13"/>
      <c r="L619" s="17"/>
      <c r="M619" s="13" t="s">
        <v>416</v>
      </c>
      <c r="N619" s="17" t="s">
        <v>34</v>
      </c>
      <c r="O619" s="13"/>
      <c r="P619" s="13"/>
    </row>
    <row r="620" ht="15.6" spans="1:16">
      <c r="A620" s="10">
        <v>617</v>
      </c>
      <c r="B620" s="34" t="s">
        <v>1012</v>
      </c>
      <c r="C620" s="34" t="s">
        <v>1013</v>
      </c>
      <c r="D620" s="13" t="str">
        <f t="shared" si="47"/>
        <v>513021********0869</v>
      </c>
      <c r="E620" s="13" t="str">
        <f t="shared" si="50"/>
        <v>女</v>
      </c>
      <c r="F620" s="17">
        <f ca="1" t="shared" si="49"/>
        <v>52</v>
      </c>
      <c r="G620" s="13" t="s">
        <v>437</v>
      </c>
      <c r="H620" s="20"/>
      <c r="I620" s="13" t="s">
        <v>21</v>
      </c>
      <c r="J620" s="13" t="s">
        <v>973</v>
      </c>
      <c r="K620" s="13"/>
      <c r="L620" s="17"/>
      <c r="M620" s="13" t="s">
        <v>416</v>
      </c>
      <c r="N620" s="17" t="s">
        <v>34</v>
      </c>
      <c r="O620" s="13"/>
      <c r="P620" s="13"/>
    </row>
    <row r="621" ht="15.6" spans="1:16">
      <c r="A621" s="10">
        <v>618</v>
      </c>
      <c r="B621" s="34" t="s">
        <v>1014</v>
      </c>
      <c r="C621" s="34" t="s">
        <v>1015</v>
      </c>
      <c r="D621" s="13" t="str">
        <f t="shared" si="47"/>
        <v>513021********0529</v>
      </c>
      <c r="E621" s="13" t="str">
        <f t="shared" si="50"/>
        <v>女</v>
      </c>
      <c r="F621" s="17">
        <f ca="1" t="shared" si="49"/>
        <v>30</v>
      </c>
      <c r="G621" s="13" t="s">
        <v>469</v>
      </c>
      <c r="H621" s="20"/>
      <c r="I621" s="13" t="s">
        <v>21</v>
      </c>
      <c r="J621" s="13" t="s">
        <v>973</v>
      </c>
      <c r="K621" s="13"/>
      <c r="L621" s="17"/>
      <c r="M621" s="13" t="s">
        <v>416</v>
      </c>
      <c r="N621" s="17" t="s">
        <v>34</v>
      </c>
      <c r="O621" s="13"/>
      <c r="P621" s="13"/>
    </row>
    <row r="622" spans="1:16">
      <c r="A622" s="10">
        <v>619</v>
      </c>
      <c r="B622" s="13" t="s">
        <v>1016</v>
      </c>
      <c r="C622" s="13" t="str">
        <f>"513021195911200976"</f>
        <v>513021195911200976</v>
      </c>
      <c r="D622" s="13" t="str">
        <f t="shared" si="47"/>
        <v>513021********0976</v>
      </c>
      <c r="E622" s="13" t="str">
        <f t="shared" si="50"/>
        <v>男</v>
      </c>
      <c r="F622" s="17">
        <f ca="1" t="shared" si="49"/>
        <v>65</v>
      </c>
      <c r="G622" s="13" t="s">
        <v>20</v>
      </c>
      <c r="H622" s="18">
        <v>220</v>
      </c>
      <c r="I622" s="13" t="s">
        <v>21</v>
      </c>
      <c r="J622" s="13" t="s">
        <v>973</v>
      </c>
      <c r="K622" s="13"/>
      <c r="L622" s="17"/>
      <c r="M622" s="13" t="s">
        <v>416</v>
      </c>
      <c r="N622" s="17" t="s">
        <v>34</v>
      </c>
      <c r="O622" s="13"/>
      <c r="P622" s="13">
        <v>2</v>
      </c>
    </row>
    <row r="623" ht="15.6" spans="1:16">
      <c r="A623" s="10">
        <v>620</v>
      </c>
      <c r="B623" s="34" t="s">
        <v>1017</v>
      </c>
      <c r="C623" s="34" t="s">
        <v>1018</v>
      </c>
      <c r="D623" s="13" t="str">
        <f t="shared" si="47"/>
        <v>513021********0961</v>
      </c>
      <c r="E623" s="13" t="str">
        <f t="shared" si="50"/>
        <v>女</v>
      </c>
      <c r="F623" s="17">
        <f ca="1" t="shared" si="49"/>
        <v>29</v>
      </c>
      <c r="G623" s="13" t="s">
        <v>475</v>
      </c>
      <c r="H623" s="20"/>
      <c r="I623" s="13" t="s">
        <v>21</v>
      </c>
      <c r="J623" s="13" t="s">
        <v>973</v>
      </c>
      <c r="K623" s="13"/>
      <c r="L623" s="17"/>
      <c r="M623" s="13" t="s">
        <v>416</v>
      </c>
      <c r="N623" s="17" t="s">
        <v>34</v>
      </c>
      <c r="O623" s="13"/>
      <c r="P623" s="13"/>
    </row>
    <row r="624" spans="1:16">
      <c r="A624" s="10">
        <v>621</v>
      </c>
      <c r="B624" s="13" t="s">
        <v>1019</v>
      </c>
      <c r="C624" s="13" t="str">
        <f>"513021196406260980"</f>
        <v>513021196406260980</v>
      </c>
      <c r="D624" s="13" t="str">
        <f t="shared" si="47"/>
        <v>513021********0980</v>
      </c>
      <c r="E624" s="13" t="str">
        <f t="shared" si="50"/>
        <v>女</v>
      </c>
      <c r="F624" s="17">
        <f ca="1" t="shared" si="49"/>
        <v>60</v>
      </c>
      <c r="G624" s="13" t="s">
        <v>20</v>
      </c>
      <c r="H624" s="18">
        <v>220</v>
      </c>
      <c r="I624" s="13" t="s">
        <v>21</v>
      </c>
      <c r="J624" s="13" t="s">
        <v>973</v>
      </c>
      <c r="K624" s="13"/>
      <c r="L624" s="17"/>
      <c r="M624" s="13" t="s">
        <v>416</v>
      </c>
      <c r="N624" s="17" t="s">
        <v>34</v>
      </c>
      <c r="O624" s="13"/>
      <c r="P624" s="13">
        <v>2</v>
      </c>
    </row>
    <row r="625" ht="15.6" spans="1:16">
      <c r="A625" s="10">
        <v>622</v>
      </c>
      <c r="B625" s="34" t="s">
        <v>1020</v>
      </c>
      <c r="C625" s="34" t="s">
        <v>1021</v>
      </c>
      <c r="D625" s="13" t="str">
        <f t="shared" si="47"/>
        <v>513021********0978</v>
      </c>
      <c r="E625" s="13" t="str">
        <f t="shared" si="50"/>
        <v>男</v>
      </c>
      <c r="F625" s="17">
        <f ca="1" t="shared" si="49"/>
        <v>67</v>
      </c>
      <c r="G625" s="13" t="s">
        <v>37</v>
      </c>
      <c r="H625" s="20"/>
      <c r="I625" s="13" t="s">
        <v>21</v>
      </c>
      <c r="J625" s="13" t="s">
        <v>973</v>
      </c>
      <c r="K625" s="13"/>
      <c r="L625" s="17"/>
      <c r="M625" s="13" t="s">
        <v>416</v>
      </c>
      <c r="N625" s="17" t="s">
        <v>34</v>
      </c>
      <c r="O625" s="13"/>
      <c r="P625" s="13"/>
    </row>
    <row r="626" spans="1:16">
      <c r="A626" s="10">
        <v>623</v>
      </c>
      <c r="B626" s="13" t="s">
        <v>1022</v>
      </c>
      <c r="C626" s="13" t="str">
        <f>"513021194701270963"</f>
        <v>513021194701270963</v>
      </c>
      <c r="D626" s="13" t="str">
        <f t="shared" si="47"/>
        <v>513021********0963</v>
      </c>
      <c r="E626" s="13" t="str">
        <f t="shared" si="50"/>
        <v>女</v>
      </c>
      <c r="F626" s="17">
        <f ca="1" t="shared" si="49"/>
        <v>77</v>
      </c>
      <c r="G626" s="13" t="s">
        <v>20</v>
      </c>
      <c r="H626" s="18">
        <v>220</v>
      </c>
      <c r="I626" s="13" t="s">
        <v>21</v>
      </c>
      <c r="J626" s="13" t="s">
        <v>973</v>
      </c>
      <c r="K626" s="13"/>
      <c r="L626" s="17" t="str">
        <f>VLOOKUP(C626,[1]Sheet1!$B$2:$U$630,20,0)</f>
        <v>视力三级;</v>
      </c>
      <c r="M626" s="13" t="s">
        <v>416</v>
      </c>
      <c r="N626" s="17" t="s">
        <v>34</v>
      </c>
      <c r="O626" s="13"/>
      <c r="P626" s="13">
        <v>5</v>
      </c>
    </row>
    <row r="627" ht="15.6" spans="1:16">
      <c r="A627" s="10">
        <v>624</v>
      </c>
      <c r="B627" s="34" t="s">
        <v>1023</v>
      </c>
      <c r="C627" s="34" t="s">
        <v>1024</v>
      </c>
      <c r="D627" s="13" t="str">
        <f t="shared" si="47"/>
        <v>513021********3433</v>
      </c>
      <c r="E627" s="13" t="str">
        <f t="shared" si="50"/>
        <v>男</v>
      </c>
      <c r="F627" s="17">
        <f ca="1" t="shared" si="49"/>
        <v>79</v>
      </c>
      <c r="G627" s="13" t="s">
        <v>37</v>
      </c>
      <c r="H627" s="20"/>
      <c r="I627" s="13" t="s">
        <v>21</v>
      </c>
      <c r="J627" s="13" t="s">
        <v>973</v>
      </c>
      <c r="K627" s="13"/>
      <c r="L627" s="17"/>
      <c r="M627" s="13" t="s">
        <v>416</v>
      </c>
      <c r="N627" s="17" t="s">
        <v>34</v>
      </c>
      <c r="O627" s="13"/>
      <c r="P627" s="13"/>
    </row>
    <row r="628" ht="15.6" spans="1:16">
      <c r="A628" s="10">
        <v>625</v>
      </c>
      <c r="B628" s="34" t="s">
        <v>1025</v>
      </c>
      <c r="C628" s="44" t="s">
        <v>1026</v>
      </c>
      <c r="D628" s="13" t="str">
        <f t="shared" si="47"/>
        <v>513021********3491</v>
      </c>
      <c r="E628" s="13" t="str">
        <f t="shared" si="50"/>
        <v>男</v>
      </c>
      <c r="F628" s="17">
        <f ca="1" t="shared" si="49"/>
        <v>51</v>
      </c>
      <c r="G628" s="13" t="s">
        <v>434</v>
      </c>
      <c r="H628" s="20"/>
      <c r="I628" s="13" t="s">
        <v>21</v>
      </c>
      <c r="J628" s="13" t="s">
        <v>973</v>
      </c>
      <c r="K628" s="13"/>
      <c r="L628" s="17"/>
      <c r="M628" s="13" t="s">
        <v>416</v>
      </c>
      <c r="N628" s="17"/>
      <c r="O628" s="13"/>
      <c r="P628" s="13"/>
    </row>
    <row r="629" ht="15.6" spans="1:16">
      <c r="A629" s="10">
        <v>626</v>
      </c>
      <c r="B629" s="34" t="s">
        <v>1027</v>
      </c>
      <c r="C629" s="34" t="s">
        <v>1028</v>
      </c>
      <c r="D629" s="13" t="str">
        <f t="shared" si="47"/>
        <v>511721********5728</v>
      </c>
      <c r="E629" s="13" t="str">
        <f t="shared" si="50"/>
        <v>女</v>
      </c>
      <c r="F629" s="17">
        <f ca="1" t="shared" si="49"/>
        <v>19</v>
      </c>
      <c r="G629" s="13" t="s">
        <v>440</v>
      </c>
      <c r="H629" s="20"/>
      <c r="I629" s="13" t="s">
        <v>21</v>
      </c>
      <c r="J629" s="13" t="s">
        <v>973</v>
      </c>
      <c r="K629" s="13"/>
      <c r="L629" s="17"/>
      <c r="M629" s="13" t="s">
        <v>416</v>
      </c>
      <c r="N629" s="17" t="s">
        <v>34</v>
      </c>
      <c r="O629" s="13"/>
      <c r="P629" s="13"/>
    </row>
    <row r="630" ht="15.6" spans="1:16">
      <c r="A630" s="10">
        <v>627</v>
      </c>
      <c r="B630" s="34" t="s">
        <v>1029</v>
      </c>
      <c r="C630" s="34" t="s">
        <v>1030</v>
      </c>
      <c r="D630" s="13" t="str">
        <f t="shared" si="47"/>
        <v>511721********5715</v>
      </c>
      <c r="E630" s="13" t="str">
        <f t="shared" si="50"/>
        <v>男</v>
      </c>
      <c r="F630" s="17">
        <f ca="1" t="shared" si="49"/>
        <v>16</v>
      </c>
      <c r="G630" s="13" t="s">
        <v>440</v>
      </c>
      <c r="H630" s="20"/>
      <c r="I630" s="13" t="s">
        <v>21</v>
      </c>
      <c r="J630" s="13" t="s">
        <v>973</v>
      </c>
      <c r="K630" s="13"/>
      <c r="L630" s="17"/>
      <c r="M630" s="13" t="s">
        <v>416</v>
      </c>
      <c r="N630" s="17" t="s">
        <v>34</v>
      </c>
      <c r="O630" s="13"/>
      <c r="P630" s="13"/>
    </row>
    <row r="631" spans="1:16">
      <c r="A631" s="10">
        <v>628</v>
      </c>
      <c r="B631" s="13" t="s">
        <v>1031</v>
      </c>
      <c r="C631" s="13" t="str">
        <f>"513021195811240970"</f>
        <v>513021195811240970</v>
      </c>
      <c r="D631" s="13" t="str">
        <f t="shared" si="47"/>
        <v>513021********0970</v>
      </c>
      <c r="E631" s="13" t="str">
        <f t="shared" si="50"/>
        <v>男</v>
      </c>
      <c r="F631" s="17">
        <f ca="1" t="shared" si="49"/>
        <v>66</v>
      </c>
      <c r="G631" s="13" t="s">
        <v>20</v>
      </c>
      <c r="H631" s="18">
        <v>220</v>
      </c>
      <c r="I631" s="13" t="s">
        <v>21</v>
      </c>
      <c r="J631" s="13" t="s">
        <v>973</v>
      </c>
      <c r="K631" s="13"/>
      <c r="L631" s="17" t="str">
        <f>VLOOKUP(C631,[1]Sheet1!$B$2:$U$630,20,0)</f>
        <v>听力三级;</v>
      </c>
      <c r="M631" s="13" t="s">
        <v>416</v>
      </c>
      <c r="N631" s="17" t="s">
        <v>34</v>
      </c>
      <c r="O631" s="13"/>
      <c r="P631" s="13">
        <v>1</v>
      </c>
    </row>
    <row r="632" spans="1:16">
      <c r="A632" s="10">
        <v>629</v>
      </c>
      <c r="B632" s="13" t="s">
        <v>1032</v>
      </c>
      <c r="C632" s="13" t="str">
        <f>"513021195210240967"</f>
        <v>513021195210240967</v>
      </c>
      <c r="D632" s="13" t="str">
        <f t="shared" si="47"/>
        <v>513021********0967</v>
      </c>
      <c r="E632" s="13" t="str">
        <f t="shared" si="50"/>
        <v>女</v>
      </c>
      <c r="F632" s="17">
        <f ca="1" t="shared" si="49"/>
        <v>72</v>
      </c>
      <c r="G632" s="13" t="s">
        <v>20</v>
      </c>
      <c r="H632" s="18">
        <v>240</v>
      </c>
      <c r="I632" s="13" t="s">
        <v>21</v>
      </c>
      <c r="J632" s="13" t="s">
        <v>973</v>
      </c>
      <c r="K632" s="13"/>
      <c r="L632" s="17"/>
      <c r="M632" s="13" t="s">
        <v>416</v>
      </c>
      <c r="N632" s="17"/>
      <c r="O632" s="13" t="s">
        <v>417</v>
      </c>
      <c r="P632" s="13">
        <v>1</v>
      </c>
    </row>
    <row r="633" spans="1:16">
      <c r="A633" s="10">
        <v>630</v>
      </c>
      <c r="B633" s="13" t="s">
        <v>1033</v>
      </c>
      <c r="C633" s="13" t="str">
        <f>"513021195012300965"</f>
        <v>513021195012300965</v>
      </c>
      <c r="D633" s="13" t="str">
        <f t="shared" si="47"/>
        <v>513021********0965</v>
      </c>
      <c r="E633" s="13" t="str">
        <f t="shared" si="50"/>
        <v>女</v>
      </c>
      <c r="F633" s="17">
        <f ca="1" t="shared" si="49"/>
        <v>74</v>
      </c>
      <c r="G633" s="13" t="s">
        <v>20</v>
      </c>
      <c r="H633" s="18">
        <v>220</v>
      </c>
      <c r="I633" s="13" t="s">
        <v>21</v>
      </c>
      <c r="J633" s="13" t="s">
        <v>973</v>
      </c>
      <c r="K633" s="13"/>
      <c r="L633" s="17"/>
      <c r="M633" s="13" t="s">
        <v>416</v>
      </c>
      <c r="N633" s="17" t="s">
        <v>34</v>
      </c>
      <c r="O633" s="13"/>
      <c r="P633" s="13">
        <v>3</v>
      </c>
    </row>
    <row r="634" ht="15.6" spans="1:16">
      <c r="A634" s="10">
        <v>631</v>
      </c>
      <c r="B634" s="34" t="s">
        <v>1034</v>
      </c>
      <c r="C634" s="34" t="s">
        <v>1035</v>
      </c>
      <c r="D634" s="13" t="str">
        <f t="shared" si="47"/>
        <v>513021********0974</v>
      </c>
      <c r="E634" s="13" t="str">
        <f t="shared" si="50"/>
        <v>男</v>
      </c>
      <c r="F634" s="17">
        <f ca="1" t="shared" si="49"/>
        <v>45</v>
      </c>
      <c r="G634" s="13" t="s">
        <v>434</v>
      </c>
      <c r="H634" s="20"/>
      <c r="I634" s="13" t="s">
        <v>21</v>
      </c>
      <c r="J634" s="13" t="s">
        <v>973</v>
      </c>
      <c r="K634" s="13"/>
      <c r="L634" s="17"/>
      <c r="M634" s="13" t="s">
        <v>416</v>
      </c>
      <c r="N634" s="17" t="s">
        <v>34</v>
      </c>
      <c r="O634" s="13"/>
      <c r="P634" s="13"/>
    </row>
    <row r="635" ht="15.6" spans="1:16">
      <c r="A635" s="10">
        <v>632</v>
      </c>
      <c r="B635" s="34" t="s">
        <v>1036</v>
      </c>
      <c r="C635" s="34" t="s">
        <v>1037</v>
      </c>
      <c r="D635" s="13" t="str">
        <f t="shared" si="47"/>
        <v>513021********0965</v>
      </c>
      <c r="E635" s="13" t="str">
        <f t="shared" si="50"/>
        <v>女</v>
      </c>
      <c r="F635" s="17">
        <f ca="1" t="shared" si="49"/>
        <v>47</v>
      </c>
      <c r="G635" s="13" t="s">
        <v>475</v>
      </c>
      <c r="H635" s="20"/>
      <c r="I635" s="13" t="s">
        <v>21</v>
      </c>
      <c r="J635" s="13" t="s">
        <v>973</v>
      </c>
      <c r="K635" s="13"/>
      <c r="L635" s="17"/>
      <c r="M635" s="13" t="s">
        <v>416</v>
      </c>
      <c r="N635" s="17"/>
      <c r="O635" s="13"/>
      <c r="P635" s="13"/>
    </row>
    <row r="636" spans="1:16">
      <c r="A636" s="10">
        <v>633</v>
      </c>
      <c r="B636" s="13" t="s">
        <v>1038</v>
      </c>
      <c r="C636" s="13" t="str">
        <f>"511721200403095719"</f>
        <v>511721200403095719</v>
      </c>
      <c r="D636" s="13" t="str">
        <f t="shared" si="47"/>
        <v>511721********5719</v>
      </c>
      <c r="E636" s="13" t="str">
        <f t="shared" si="50"/>
        <v>男</v>
      </c>
      <c r="F636" s="17">
        <f ca="1" t="shared" si="49"/>
        <v>20</v>
      </c>
      <c r="G636" s="13" t="s">
        <v>20</v>
      </c>
      <c r="H636" s="18">
        <v>240</v>
      </c>
      <c r="I636" s="13" t="s">
        <v>21</v>
      </c>
      <c r="J636" s="13" t="s">
        <v>973</v>
      </c>
      <c r="K636" s="13"/>
      <c r="L636" s="17"/>
      <c r="M636" s="13" t="s">
        <v>416</v>
      </c>
      <c r="N636" s="17" t="s">
        <v>34</v>
      </c>
      <c r="O636" s="13" t="s">
        <v>417</v>
      </c>
      <c r="P636" s="13">
        <v>1</v>
      </c>
    </row>
    <row r="637" spans="1:16">
      <c r="A637" s="10">
        <v>634</v>
      </c>
      <c r="B637" s="13" t="s">
        <v>667</v>
      </c>
      <c r="C637" s="13" t="str">
        <f>"513021196305030967"</f>
        <v>513021196305030967</v>
      </c>
      <c r="D637" s="13" t="str">
        <f t="shared" si="47"/>
        <v>513021********0967</v>
      </c>
      <c r="E637" s="13" t="str">
        <f t="shared" si="50"/>
        <v>女</v>
      </c>
      <c r="F637" s="17">
        <f ca="1" t="shared" si="49"/>
        <v>61</v>
      </c>
      <c r="G637" s="13" t="s">
        <v>20</v>
      </c>
      <c r="H637" s="18">
        <v>440</v>
      </c>
      <c r="I637" s="13" t="s">
        <v>21</v>
      </c>
      <c r="J637" s="13" t="s">
        <v>973</v>
      </c>
      <c r="K637" s="13"/>
      <c r="L637" s="17" t="str">
        <f>VLOOKUP(C637,[1]Sheet1!$B$2:$U$630,20,0)</f>
        <v>肢体三级;</v>
      </c>
      <c r="M637" s="13" t="s">
        <v>416</v>
      </c>
      <c r="N637" s="17" t="s">
        <v>34</v>
      </c>
      <c r="O637" s="13"/>
      <c r="P637" s="13">
        <v>3</v>
      </c>
    </row>
    <row r="638" ht="15.6" spans="1:16">
      <c r="A638" s="10">
        <v>635</v>
      </c>
      <c r="B638" s="34" t="s">
        <v>1039</v>
      </c>
      <c r="C638" s="34" t="s">
        <v>1040</v>
      </c>
      <c r="D638" s="13" t="str">
        <f t="shared" si="47"/>
        <v>513021********1031</v>
      </c>
      <c r="E638" s="13" t="str">
        <f t="shared" si="50"/>
        <v>男</v>
      </c>
      <c r="F638" s="17">
        <f ca="1" t="shared" si="49"/>
        <v>61</v>
      </c>
      <c r="G638" s="13" t="s">
        <v>37</v>
      </c>
      <c r="H638" s="20"/>
      <c r="I638" s="13" t="s">
        <v>21</v>
      </c>
      <c r="J638" s="13" t="s">
        <v>973</v>
      </c>
      <c r="K638" s="13"/>
      <c r="L638" s="17"/>
      <c r="M638" s="13" t="s">
        <v>416</v>
      </c>
      <c r="N638" s="17" t="s">
        <v>34</v>
      </c>
      <c r="O638" s="13"/>
      <c r="P638" s="13"/>
    </row>
    <row r="639" ht="15.6" spans="1:16">
      <c r="A639" s="10">
        <v>636</v>
      </c>
      <c r="B639" s="34" t="s">
        <v>1041</v>
      </c>
      <c r="C639" s="34" t="s">
        <v>1042</v>
      </c>
      <c r="D639" s="13" t="str">
        <f t="shared" si="47"/>
        <v>511721********5728</v>
      </c>
      <c r="E639" s="13" t="str">
        <f t="shared" si="50"/>
        <v>女</v>
      </c>
      <c r="F639" s="17">
        <f ca="1" t="shared" si="49"/>
        <v>19</v>
      </c>
      <c r="G639" s="13" t="s">
        <v>475</v>
      </c>
      <c r="H639" s="20"/>
      <c r="I639" s="13" t="s">
        <v>21</v>
      </c>
      <c r="J639" s="13" t="s">
        <v>973</v>
      </c>
      <c r="K639" s="13"/>
      <c r="L639" s="17" t="str">
        <f>VLOOKUP(C639,[1]Sheet1!$B$2:$U$630,20,0)</f>
        <v>肢体四级;</v>
      </c>
      <c r="M639" s="13" t="s">
        <v>416</v>
      </c>
      <c r="N639" s="17" t="s">
        <v>34</v>
      </c>
      <c r="O639" s="13"/>
      <c r="P639" s="13"/>
    </row>
    <row r="640" spans="1:16">
      <c r="A640" s="10">
        <v>637</v>
      </c>
      <c r="B640" s="13" t="s">
        <v>1043</v>
      </c>
      <c r="C640" s="13" t="str">
        <f>"513021196510240963"</f>
        <v>513021196510240963</v>
      </c>
      <c r="D640" s="13" t="str">
        <f t="shared" si="47"/>
        <v>513021********0963</v>
      </c>
      <c r="E640" s="13" t="str">
        <f t="shared" si="50"/>
        <v>女</v>
      </c>
      <c r="F640" s="17">
        <f ca="1" t="shared" si="49"/>
        <v>59</v>
      </c>
      <c r="G640" s="13" t="s">
        <v>20</v>
      </c>
      <c r="H640" s="18">
        <v>220</v>
      </c>
      <c r="I640" s="13" t="s">
        <v>21</v>
      </c>
      <c r="J640" s="13" t="s">
        <v>973</v>
      </c>
      <c r="K640" s="13"/>
      <c r="L640" s="17" t="str">
        <f>VLOOKUP(C640,[1]Sheet1!$B$2:$U$630,20,0)</f>
        <v>精神三级;</v>
      </c>
      <c r="M640" s="13" t="s">
        <v>416</v>
      </c>
      <c r="N640" s="17" t="s">
        <v>34</v>
      </c>
      <c r="O640" s="13"/>
      <c r="P640" s="13">
        <v>4</v>
      </c>
    </row>
    <row r="641" ht="15.6" spans="1:16">
      <c r="A641" s="10">
        <v>638</v>
      </c>
      <c r="B641" s="34" t="s">
        <v>1044</v>
      </c>
      <c r="C641" s="34" t="s">
        <v>1045</v>
      </c>
      <c r="D641" s="13" t="str">
        <f t="shared" si="47"/>
        <v>513021********0975</v>
      </c>
      <c r="E641" s="13" t="str">
        <f t="shared" si="50"/>
        <v>男</v>
      </c>
      <c r="F641" s="17">
        <f ca="1" t="shared" ref="F641:F650" si="51">YEAR(TODAY())-MID(C641,7,4)</f>
        <v>64</v>
      </c>
      <c r="G641" s="13" t="s">
        <v>37</v>
      </c>
      <c r="H641" s="20"/>
      <c r="I641" s="13" t="s">
        <v>21</v>
      </c>
      <c r="J641" s="13" t="s">
        <v>973</v>
      </c>
      <c r="K641" s="13"/>
      <c r="L641" s="17"/>
      <c r="M641" s="13" t="s">
        <v>416</v>
      </c>
      <c r="N641" s="17" t="s">
        <v>34</v>
      </c>
      <c r="O641" s="13"/>
      <c r="P641" s="13"/>
    </row>
    <row r="642" ht="15.6" spans="1:16">
      <c r="A642" s="10">
        <v>639</v>
      </c>
      <c r="B642" s="34" t="s">
        <v>1046</v>
      </c>
      <c r="C642" s="34" t="s">
        <v>1047</v>
      </c>
      <c r="D642" s="13" t="str">
        <f t="shared" si="47"/>
        <v>513021********0974</v>
      </c>
      <c r="E642" s="13" t="str">
        <f t="shared" si="50"/>
        <v>男</v>
      </c>
      <c r="F642" s="17">
        <f ca="1" t="shared" si="51"/>
        <v>38</v>
      </c>
      <c r="G642" s="13" t="s">
        <v>434</v>
      </c>
      <c r="H642" s="20"/>
      <c r="I642" s="13" t="s">
        <v>21</v>
      </c>
      <c r="J642" s="13" t="s">
        <v>973</v>
      </c>
      <c r="K642" s="13"/>
      <c r="L642" s="17"/>
      <c r="M642" s="13" t="s">
        <v>416</v>
      </c>
      <c r="N642" s="17" t="s">
        <v>34</v>
      </c>
      <c r="O642" s="13"/>
      <c r="P642" s="13"/>
    </row>
    <row r="643" ht="15.6" spans="1:16">
      <c r="A643" s="10">
        <v>640</v>
      </c>
      <c r="B643" s="34" t="s">
        <v>1048</v>
      </c>
      <c r="C643" s="34" t="s">
        <v>1049</v>
      </c>
      <c r="D643" s="13" t="str">
        <f t="shared" si="47"/>
        <v>511721********5727</v>
      </c>
      <c r="E643" s="13" t="str">
        <f t="shared" si="50"/>
        <v>女</v>
      </c>
      <c r="F643" s="17">
        <f ca="1" t="shared" si="51"/>
        <v>14</v>
      </c>
      <c r="G643" s="13" t="s">
        <v>440</v>
      </c>
      <c r="H643" s="20"/>
      <c r="I643" s="13" t="s">
        <v>21</v>
      </c>
      <c r="J643" s="13" t="s">
        <v>973</v>
      </c>
      <c r="K643" s="13"/>
      <c r="L643" s="17"/>
      <c r="M643" s="13" t="s">
        <v>416</v>
      </c>
      <c r="N643" s="17" t="s">
        <v>34</v>
      </c>
      <c r="O643" s="13"/>
      <c r="P643" s="13"/>
    </row>
    <row r="644" spans="1:16">
      <c r="A644" s="10">
        <v>641</v>
      </c>
      <c r="B644" s="13" t="s">
        <v>1050</v>
      </c>
      <c r="C644" s="13" t="str">
        <f>"511721200508065719"</f>
        <v>511721200508065719</v>
      </c>
      <c r="D644" s="13" t="str">
        <f t="shared" si="47"/>
        <v>511721********5719</v>
      </c>
      <c r="E644" s="13" t="str">
        <f t="shared" si="50"/>
        <v>男</v>
      </c>
      <c r="F644" s="17">
        <f ca="1" t="shared" si="51"/>
        <v>19</v>
      </c>
      <c r="G644" s="13" t="s">
        <v>20</v>
      </c>
      <c r="H644" s="18">
        <v>220</v>
      </c>
      <c r="I644" s="13" t="s">
        <v>21</v>
      </c>
      <c r="J644" s="13" t="s">
        <v>973</v>
      </c>
      <c r="K644" s="13"/>
      <c r="L644" s="17"/>
      <c r="M644" s="13" t="s">
        <v>416</v>
      </c>
      <c r="N644" s="17" t="s">
        <v>34</v>
      </c>
      <c r="O644" s="13"/>
      <c r="P644" s="13">
        <v>2</v>
      </c>
    </row>
    <row r="645" ht="15.6" spans="1:16">
      <c r="A645" s="10">
        <v>642</v>
      </c>
      <c r="B645" s="34" t="s">
        <v>1051</v>
      </c>
      <c r="C645" s="34" t="s">
        <v>1052</v>
      </c>
      <c r="D645" s="13" t="str">
        <f t="shared" ref="D645:D708" si="52">REPLACE(C645,7,8,"********")</f>
        <v>513021********0967</v>
      </c>
      <c r="E645" s="13" t="str">
        <f t="shared" si="50"/>
        <v>女</v>
      </c>
      <c r="F645" s="17">
        <f ca="1" t="shared" si="51"/>
        <v>61</v>
      </c>
      <c r="G645" s="13" t="s">
        <v>434</v>
      </c>
      <c r="H645" s="20"/>
      <c r="I645" s="13" t="s">
        <v>21</v>
      </c>
      <c r="J645" s="13" t="s">
        <v>973</v>
      </c>
      <c r="K645" s="13"/>
      <c r="L645" s="17"/>
      <c r="M645" s="13" t="s">
        <v>416</v>
      </c>
      <c r="N645" s="17" t="s">
        <v>34</v>
      </c>
      <c r="O645" s="13"/>
      <c r="P645" s="13"/>
    </row>
    <row r="646" spans="1:16">
      <c r="A646" s="10">
        <v>643</v>
      </c>
      <c r="B646" s="13" t="s">
        <v>1053</v>
      </c>
      <c r="C646" s="13" t="str">
        <f>"513021196412160994"</f>
        <v>513021196412160994</v>
      </c>
      <c r="D646" s="13" t="str">
        <f t="shared" si="52"/>
        <v>513021********0994</v>
      </c>
      <c r="E646" s="13" t="str">
        <f t="shared" si="50"/>
        <v>男</v>
      </c>
      <c r="F646" s="17">
        <f ca="1" t="shared" si="51"/>
        <v>60</v>
      </c>
      <c r="G646" s="13" t="s">
        <v>20</v>
      </c>
      <c r="H646" s="18">
        <v>220</v>
      </c>
      <c r="I646" s="13" t="s">
        <v>21</v>
      </c>
      <c r="J646" s="13" t="s">
        <v>973</v>
      </c>
      <c r="K646" s="13"/>
      <c r="L646" s="17"/>
      <c r="M646" s="13" t="s">
        <v>416</v>
      </c>
      <c r="N646" s="17" t="s">
        <v>34</v>
      </c>
      <c r="O646" s="13"/>
      <c r="P646" s="13">
        <v>3</v>
      </c>
    </row>
    <row r="647" ht="15.6" spans="1:16">
      <c r="A647" s="10">
        <v>644</v>
      </c>
      <c r="B647" s="34" t="s">
        <v>1054</v>
      </c>
      <c r="C647" s="34" t="s">
        <v>1055</v>
      </c>
      <c r="D647" s="13" t="str">
        <f t="shared" si="52"/>
        <v>513021********0967</v>
      </c>
      <c r="E647" s="13" t="str">
        <f t="shared" si="50"/>
        <v>女</v>
      </c>
      <c r="F647" s="17">
        <f ca="1" t="shared" si="51"/>
        <v>59</v>
      </c>
      <c r="G647" s="13" t="s">
        <v>37</v>
      </c>
      <c r="H647" s="20"/>
      <c r="I647" s="13" t="s">
        <v>21</v>
      </c>
      <c r="J647" s="13" t="s">
        <v>973</v>
      </c>
      <c r="K647" s="13"/>
      <c r="L647" s="17"/>
      <c r="M647" s="13" t="s">
        <v>416</v>
      </c>
      <c r="N647" s="17" t="s">
        <v>34</v>
      </c>
      <c r="O647" s="13"/>
      <c r="P647" s="13"/>
    </row>
    <row r="648" ht="15.6" spans="1:16">
      <c r="A648" s="10">
        <v>645</v>
      </c>
      <c r="B648" s="34" t="s">
        <v>1056</v>
      </c>
      <c r="C648" s="34" t="s">
        <v>1057</v>
      </c>
      <c r="D648" s="13" t="str">
        <f t="shared" si="52"/>
        <v>513021********0974</v>
      </c>
      <c r="E648" s="13" t="str">
        <f t="shared" si="50"/>
        <v>男</v>
      </c>
      <c r="F648" s="17">
        <f ca="1" t="shared" si="51"/>
        <v>30</v>
      </c>
      <c r="G648" s="13" t="s">
        <v>429</v>
      </c>
      <c r="H648" s="20"/>
      <c r="I648" s="13" t="s">
        <v>21</v>
      </c>
      <c r="J648" s="13" t="s">
        <v>973</v>
      </c>
      <c r="K648" s="13"/>
      <c r="L648" s="17"/>
      <c r="M648" s="13" t="s">
        <v>416</v>
      </c>
      <c r="N648" s="17"/>
      <c r="O648" s="13"/>
      <c r="P648" s="13"/>
    </row>
    <row r="649" spans="1:16">
      <c r="A649" s="10">
        <v>646</v>
      </c>
      <c r="B649" s="13" t="s">
        <v>1058</v>
      </c>
      <c r="C649" s="13" t="str">
        <f>"513021199506260973"</f>
        <v>513021199506260973</v>
      </c>
      <c r="D649" s="13" t="str">
        <f t="shared" si="52"/>
        <v>513021********0973</v>
      </c>
      <c r="E649" s="13" t="str">
        <f t="shared" si="50"/>
        <v>男</v>
      </c>
      <c r="F649" s="17">
        <f ca="1" t="shared" si="51"/>
        <v>29</v>
      </c>
      <c r="G649" s="13" t="s">
        <v>20</v>
      </c>
      <c r="H649" s="18">
        <v>240</v>
      </c>
      <c r="I649" s="13" t="s">
        <v>21</v>
      </c>
      <c r="J649" s="13" t="s">
        <v>973</v>
      </c>
      <c r="K649" s="13"/>
      <c r="L649" s="17" t="str">
        <f>VLOOKUP(C649,[1]Sheet1!$B$2:$U$630,20,0)</f>
        <v>智力一级;</v>
      </c>
      <c r="M649" s="13" t="s">
        <v>416</v>
      </c>
      <c r="N649" s="17"/>
      <c r="O649" s="13" t="s">
        <v>417</v>
      </c>
      <c r="P649" s="13">
        <v>1</v>
      </c>
    </row>
    <row r="650" ht="15.6" spans="1:16">
      <c r="A650" s="10">
        <v>647</v>
      </c>
      <c r="B650" s="34" t="s">
        <v>1059</v>
      </c>
      <c r="C650" s="34" t="s">
        <v>1060</v>
      </c>
      <c r="D650" s="13" t="str">
        <f t="shared" si="52"/>
        <v>513021********0458</v>
      </c>
      <c r="E650" s="13" t="str">
        <f t="shared" si="50"/>
        <v>男</v>
      </c>
      <c r="F650" s="17">
        <f ca="1" t="shared" si="51"/>
        <v>75</v>
      </c>
      <c r="G650" s="13" t="s">
        <v>20</v>
      </c>
      <c r="H650" s="20">
        <v>190</v>
      </c>
      <c r="I650" s="13" t="s">
        <v>21</v>
      </c>
      <c r="J650" s="13" t="s">
        <v>973</v>
      </c>
      <c r="K650" s="13"/>
      <c r="L650" s="17"/>
      <c r="M650" s="13" t="s">
        <v>416</v>
      </c>
      <c r="N650" s="17"/>
      <c r="O650" s="13"/>
      <c r="P650" s="13">
        <v>1</v>
      </c>
    </row>
    <row r="651" spans="1:16">
      <c r="A651" s="10">
        <v>648</v>
      </c>
      <c r="B651" s="13" t="s">
        <v>1061</v>
      </c>
      <c r="C651" s="13" t="str">
        <f>"513021195712070961"</f>
        <v>513021195712070961</v>
      </c>
      <c r="D651" s="13" t="str">
        <f t="shared" si="52"/>
        <v>513021********0961</v>
      </c>
      <c r="E651" s="13" t="str">
        <f t="shared" ref="E651:E688" si="53">IF(MOD(MID(C651,17,1),2)=1,"男","女")</f>
        <v>女</v>
      </c>
      <c r="F651" s="17">
        <f ca="1" t="shared" ref="F651:F688" si="54">YEAR(TODAY())-MID(C651,7,4)</f>
        <v>67</v>
      </c>
      <c r="G651" s="13" t="s">
        <v>20</v>
      </c>
      <c r="H651" s="18">
        <v>240</v>
      </c>
      <c r="I651" s="13" t="s">
        <v>21</v>
      </c>
      <c r="J651" s="13" t="s">
        <v>973</v>
      </c>
      <c r="K651" s="13"/>
      <c r="L651" s="17"/>
      <c r="M651" s="13" t="s">
        <v>416</v>
      </c>
      <c r="N651" s="17" t="s">
        <v>34</v>
      </c>
      <c r="O651" s="13" t="s">
        <v>417</v>
      </c>
      <c r="P651" s="13">
        <v>1</v>
      </c>
    </row>
    <row r="652" spans="1:16">
      <c r="A652" s="10">
        <v>649</v>
      </c>
      <c r="B652" s="13" t="s">
        <v>1062</v>
      </c>
      <c r="C652" s="13" t="s">
        <v>1063</v>
      </c>
      <c r="D652" s="13" t="str">
        <f t="shared" si="52"/>
        <v>511721********572X</v>
      </c>
      <c r="E652" s="13" t="str">
        <f t="shared" si="53"/>
        <v>女</v>
      </c>
      <c r="F652" s="17">
        <f ca="1" t="shared" si="54"/>
        <v>19</v>
      </c>
      <c r="G652" s="13" t="s">
        <v>20</v>
      </c>
      <c r="H652" s="18">
        <v>240</v>
      </c>
      <c r="I652" s="13" t="s">
        <v>21</v>
      </c>
      <c r="J652" s="13" t="s">
        <v>973</v>
      </c>
      <c r="K652" s="13"/>
      <c r="L652" s="17"/>
      <c r="M652" s="13" t="s">
        <v>416</v>
      </c>
      <c r="N652" s="17"/>
      <c r="O652" s="13" t="s">
        <v>417</v>
      </c>
      <c r="P652" s="13">
        <v>1</v>
      </c>
    </row>
    <row r="653" spans="1:16">
      <c r="A653" s="10">
        <v>650</v>
      </c>
      <c r="B653" s="13" t="s">
        <v>1064</v>
      </c>
      <c r="C653" s="13" t="str">
        <f>"511721200508175766"</f>
        <v>511721200508175766</v>
      </c>
      <c r="D653" s="13" t="str">
        <f t="shared" si="52"/>
        <v>511721********5766</v>
      </c>
      <c r="E653" s="13" t="str">
        <f t="shared" si="53"/>
        <v>女</v>
      </c>
      <c r="F653" s="17">
        <f ca="1" t="shared" si="54"/>
        <v>19</v>
      </c>
      <c r="G653" s="13" t="s">
        <v>20</v>
      </c>
      <c r="H653" s="18">
        <v>480</v>
      </c>
      <c r="I653" s="13" t="s">
        <v>21</v>
      </c>
      <c r="J653" s="13" t="s">
        <v>973</v>
      </c>
      <c r="K653" s="13"/>
      <c r="L653" s="17"/>
      <c r="M653" s="13" t="s">
        <v>416</v>
      </c>
      <c r="N653" s="17"/>
      <c r="O653" s="13"/>
      <c r="P653" s="13">
        <v>2</v>
      </c>
    </row>
    <row r="654" ht="15.6" spans="1:16">
      <c r="A654" s="10">
        <v>651</v>
      </c>
      <c r="B654" s="34" t="s">
        <v>1065</v>
      </c>
      <c r="C654" s="34" t="s">
        <v>1066</v>
      </c>
      <c r="D654" s="13" t="str">
        <f t="shared" si="52"/>
        <v>511721********575X</v>
      </c>
      <c r="E654" s="13" t="str">
        <f t="shared" si="53"/>
        <v>男</v>
      </c>
      <c r="F654" s="17">
        <f ca="1" t="shared" si="54"/>
        <v>21</v>
      </c>
      <c r="G654" s="13" t="s">
        <v>1067</v>
      </c>
      <c r="H654" s="20"/>
      <c r="I654" s="13" t="s">
        <v>21</v>
      </c>
      <c r="J654" s="13" t="s">
        <v>973</v>
      </c>
      <c r="K654" s="13"/>
      <c r="L654" s="17"/>
      <c r="M654" s="13" t="s">
        <v>416</v>
      </c>
      <c r="N654" s="17"/>
      <c r="O654" s="13"/>
      <c r="P654" s="13"/>
    </row>
    <row r="655" ht="15.6" spans="1:16">
      <c r="A655" s="10">
        <v>652</v>
      </c>
      <c r="B655" s="34" t="s">
        <v>1068</v>
      </c>
      <c r="C655" s="34" t="s">
        <v>1069</v>
      </c>
      <c r="D655" s="13" t="str">
        <f t="shared" si="52"/>
        <v>513021********0969</v>
      </c>
      <c r="E655" s="13" t="str">
        <f t="shared" si="53"/>
        <v>女</v>
      </c>
      <c r="F655" s="17">
        <f ca="1" t="shared" si="54"/>
        <v>86</v>
      </c>
      <c r="G655" s="13" t="s">
        <v>475</v>
      </c>
      <c r="H655" s="18">
        <v>220</v>
      </c>
      <c r="I655" s="13" t="s">
        <v>21</v>
      </c>
      <c r="J655" s="13" t="s">
        <v>973</v>
      </c>
      <c r="K655" s="13"/>
      <c r="L655" s="17"/>
      <c r="M655" s="13" t="s">
        <v>416</v>
      </c>
      <c r="N655" s="17" t="s">
        <v>34</v>
      </c>
      <c r="O655" s="13"/>
      <c r="P655" s="13">
        <v>6</v>
      </c>
    </row>
    <row r="656" ht="15.6" spans="1:16">
      <c r="A656" s="10">
        <v>653</v>
      </c>
      <c r="B656" s="34" t="s">
        <v>1070</v>
      </c>
      <c r="C656" s="34" t="s">
        <v>1071</v>
      </c>
      <c r="D656" s="13" t="str">
        <f t="shared" si="52"/>
        <v>513021********0975</v>
      </c>
      <c r="E656" s="13" t="str">
        <f t="shared" si="53"/>
        <v>男</v>
      </c>
      <c r="F656" s="17">
        <f ca="1" t="shared" si="54"/>
        <v>36</v>
      </c>
      <c r="G656" s="13" t="s">
        <v>434</v>
      </c>
      <c r="H656" s="20"/>
      <c r="I656" s="13" t="s">
        <v>21</v>
      </c>
      <c r="J656" s="13" t="s">
        <v>973</v>
      </c>
      <c r="K656" s="13"/>
      <c r="L656" s="17"/>
      <c r="M656" s="13" t="s">
        <v>416</v>
      </c>
      <c r="N656" s="17" t="s">
        <v>34</v>
      </c>
      <c r="O656" s="13"/>
      <c r="P656" s="13"/>
    </row>
    <row r="657" ht="15.6" spans="1:16">
      <c r="A657" s="10">
        <v>654</v>
      </c>
      <c r="B657" s="34" t="s">
        <v>1072</v>
      </c>
      <c r="C657" s="34" t="s">
        <v>1073</v>
      </c>
      <c r="D657" s="13" t="str">
        <f t="shared" si="52"/>
        <v>513021********6549</v>
      </c>
      <c r="E657" s="13" t="str">
        <f t="shared" si="53"/>
        <v>女</v>
      </c>
      <c r="F657" s="17">
        <f ca="1" t="shared" si="54"/>
        <v>37</v>
      </c>
      <c r="G657" s="13" t="s">
        <v>437</v>
      </c>
      <c r="H657" s="20"/>
      <c r="I657" s="13" t="s">
        <v>21</v>
      </c>
      <c r="J657" s="13" t="s">
        <v>973</v>
      </c>
      <c r="K657" s="13"/>
      <c r="L657" s="17"/>
      <c r="M657" s="13" t="s">
        <v>416</v>
      </c>
      <c r="N657" s="17" t="s">
        <v>34</v>
      </c>
      <c r="O657" s="13"/>
      <c r="P657" s="13"/>
    </row>
    <row r="658" ht="15.6" spans="1:16">
      <c r="A658" s="10">
        <v>655</v>
      </c>
      <c r="B658" s="34" t="s">
        <v>1074</v>
      </c>
      <c r="C658" s="34" t="s">
        <v>1075</v>
      </c>
      <c r="D658" s="13" t="str">
        <f t="shared" si="52"/>
        <v>511721********5726</v>
      </c>
      <c r="E658" s="13" t="str">
        <f t="shared" si="53"/>
        <v>女</v>
      </c>
      <c r="F658" s="17">
        <f ca="1" t="shared" si="54"/>
        <v>8</v>
      </c>
      <c r="G658" s="13" t="s">
        <v>440</v>
      </c>
      <c r="H658" s="20"/>
      <c r="I658" s="13" t="s">
        <v>21</v>
      </c>
      <c r="J658" s="13" t="s">
        <v>973</v>
      </c>
      <c r="K658" s="13"/>
      <c r="L658" s="17"/>
      <c r="M658" s="13" t="s">
        <v>416</v>
      </c>
      <c r="N658" s="17" t="s">
        <v>34</v>
      </c>
      <c r="O658" s="13"/>
      <c r="P658" s="13"/>
    </row>
    <row r="659" ht="15.6" spans="1:16">
      <c r="A659" s="10">
        <v>656</v>
      </c>
      <c r="B659" s="34" t="s">
        <v>1076</v>
      </c>
      <c r="C659" s="34" t="s">
        <v>1077</v>
      </c>
      <c r="D659" s="13" t="str">
        <f t="shared" si="52"/>
        <v>513021********0976</v>
      </c>
      <c r="E659" s="13" t="str">
        <f t="shared" si="53"/>
        <v>男</v>
      </c>
      <c r="F659" s="17">
        <f ca="1" t="shared" si="54"/>
        <v>67</v>
      </c>
      <c r="G659" s="13" t="s">
        <v>20</v>
      </c>
      <c r="H659" s="20"/>
      <c r="I659" s="13" t="s">
        <v>21</v>
      </c>
      <c r="J659" s="13" t="s">
        <v>973</v>
      </c>
      <c r="K659" s="13"/>
      <c r="L659" s="17"/>
      <c r="M659" s="13" t="s">
        <v>416</v>
      </c>
      <c r="N659" s="17" t="s">
        <v>34</v>
      </c>
      <c r="O659" s="13"/>
      <c r="P659" s="13"/>
    </row>
    <row r="660" ht="15.6" spans="1:16">
      <c r="A660" s="10">
        <v>657</v>
      </c>
      <c r="B660" s="34" t="s">
        <v>1078</v>
      </c>
      <c r="C660" s="34" t="s">
        <v>1079</v>
      </c>
      <c r="D660" s="13" t="str">
        <f t="shared" si="52"/>
        <v>511721********571X</v>
      </c>
      <c r="E660" s="13" t="str">
        <f t="shared" si="53"/>
        <v>男</v>
      </c>
      <c r="F660" s="17">
        <f ca="1" t="shared" si="54"/>
        <v>13</v>
      </c>
      <c r="G660" s="13" t="s">
        <v>440</v>
      </c>
      <c r="H660" s="20"/>
      <c r="I660" s="13" t="s">
        <v>21</v>
      </c>
      <c r="J660" s="13" t="s">
        <v>973</v>
      </c>
      <c r="K660" s="13"/>
      <c r="L660" s="17"/>
      <c r="M660" s="13" t="s">
        <v>416</v>
      </c>
      <c r="N660" s="17" t="s">
        <v>34</v>
      </c>
      <c r="O660" s="13"/>
      <c r="P660" s="13"/>
    </row>
    <row r="661" spans="1:16">
      <c r="A661" s="10">
        <v>658</v>
      </c>
      <c r="B661" s="13" t="s">
        <v>1080</v>
      </c>
      <c r="C661" s="13" t="str">
        <f>"513021194807050977"</f>
        <v>513021194807050977</v>
      </c>
      <c r="D661" s="13" t="str">
        <f t="shared" si="52"/>
        <v>513021********0977</v>
      </c>
      <c r="E661" s="13" t="str">
        <f t="shared" si="53"/>
        <v>男</v>
      </c>
      <c r="F661" s="17">
        <f ca="1" t="shared" si="54"/>
        <v>76</v>
      </c>
      <c r="G661" s="13" t="s">
        <v>20</v>
      </c>
      <c r="H661" s="18">
        <v>240</v>
      </c>
      <c r="I661" s="13" t="s">
        <v>21</v>
      </c>
      <c r="J661" s="13" t="s">
        <v>973</v>
      </c>
      <c r="K661" s="13"/>
      <c r="L661" s="17"/>
      <c r="M661" s="13" t="s">
        <v>416</v>
      </c>
      <c r="N661" s="17"/>
      <c r="O661" s="13" t="s">
        <v>417</v>
      </c>
      <c r="P661" s="13">
        <v>1</v>
      </c>
    </row>
    <row r="662" spans="1:16">
      <c r="A662" s="10">
        <v>659</v>
      </c>
      <c r="B662" s="13" t="s">
        <v>1081</v>
      </c>
      <c r="C662" s="13" t="str">
        <f>"513021197609090971"</f>
        <v>513021197609090971</v>
      </c>
      <c r="D662" s="13" t="str">
        <f t="shared" si="52"/>
        <v>513021********0971</v>
      </c>
      <c r="E662" s="13" t="str">
        <f t="shared" si="53"/>
        <v>男</v>
      </c>
      <c r="F662" s="17">
        <f ca="1" t="shared" si="54"/>
        <v>48</v>
      </c>
      <c r="G662" s="13" t="s">
        <v>20</v>
      </c>
      <c r="H662" s="18">
        <v>240</v>
      </c>
      <c r="I662" s="13" t="s">
        <v>21</v>
      </c>
      <c r="J662" s="13" t="s">
        <v>973</v>
      </c>
      <c r="K662" s="13"/>
      <c r="L662" s="17"/>
      <c r="M662" s="13" t="s">
        <v>416</v>
      </c>
      <c r="N662" s="17"/>
      <c r="O662" s="13" t="s">
        <v>417</v>
      </c>
      <c r="P662" s="13">
        <v>1</v>
      </c>
    </row>
    <row r="663" spans="1:16">
      <c r="A663" s="10">
        <v>660</v>
      </c>
      <c r="B663" s="13" t="s">
        <v>1082</v>
      </c>
      <c r="C663" s="13" t="str">
        <f>"513021192703150966"</f>
        <v>513021192703150966</v>
      </c>
      <c r="D663" s="13" t="str">
        <f t="shared" si="52"/>
        <v>513021********0966</v>
      </c>
      <c r="E663" s="13" t="str">
        <f t="shared" si="53"/>
        <v>女</v>
      </c>
      <c r="F663" s="17">
        <f ca="1" t="shared" si="54"/>
        <v>97</v>
      </c>
      <c r="G663" s="13" t="s">
        <v>20</v>
      </c>
      <c r="H663" s="18">
        <v>240</v>
      </c>
      <c r="I663" s="13" t="s">
        <v>21</v>
      </c>
      <c r="J663" s="13" t="s">
        <v>973</v>
      </c>
      <c r="K663" s="13"/>
      <c r="L663" s="17"/>
      <c r="M663" s="13" t="s">
        <v>416</v>
      </c>
      <c r="N663" s="17"/>
      <c r="O663" s="13" t="s">
        <v>417</v>
      </c>
      <c r="P663" s="13">
        <v>1</v>
      </c>
    </row>
    <row r="664" spans="1:16">
      <c r="A664" s="10">
        <v>661</v>
      </c>
      <c r="B664" s="13" t="s">
        <v>1083</v>
      </c>
      <c r="C664" s="13" t="str">
        <f>"513021193604130972"</f>
        <v>513021193604130972</v>
      </c>
      <c r="D664" s="13" t="str">
        <f t="shared" si="52"/>
        <v>513021********0972</v>
      </c>
      <c r="E664" s="13" t="str">
        <f t="shared" si="53"/>
        <v>男</v>
      </c>
      <c r="F664" s="17">
        <f ca="1" t="shared" si="54"/>
        <v>88</v>
      </c>
      <c r="G664" s="13" t="s">
        <v>20</v>
      </c>
      <c r="H664" s="18">
        <v>240</v>
      </c>
      <c r="I664" s="13" t="s">
        <v>21</v>
      </c>
      <c r="J664" s="13" t="s">
        <v>973</v>
      </c>
      <c r="K664" s="13"/>
      <c r="L664" s="17"/>
      <c r="M664" s="13" t="s">
        <v>416</v>
      </c>
      <c r="N664" s="17"/>
      <c r="O664" s="13" t="s">
        <v>417</v>
      </c>
      <c r="P664" s="13">
        <v>1</v>
      </c>
    </row>
    <row r="665" spans="1:16">
      <c r="A665" s="10">
        <v>662</v>
      </c>
      <c r="B665" s="13" t="s">
        <v>1084</v>
      </c>
      <c r="C665" s="13" t="str">
        <f>"513021195009120963"</f>
        <v>513021195009120963</v>
      </c>
      <c r="D665" s="13" t="str">
        <f t="shared" si="52"/>
        <v>513021********0963</v>
      </c>
      <c r="E665" s="13" t="str">
        <f t="shared" si="53"/>
        <v>女</v>
      </c>
      <c r="F665" s="17">
        <f ca="1" t="shared" si="54"/>
        <v>74</v>
      </c>
      <c r="G665" s="13" t="s">
        <v>20</v>
      </c>
      <c r="H665" s="18">
        <v>220</v>
      </c>
      <c r="I665" s="13" t="s">
        <v>21</v>
      </c>
      <c r="J665" s="13" t="s">
        <v>973</v>
      </c>
      <c r="K665" s="13"/>
      <c r="L665" s="17"/>
      <c r="M665" s="13" t="s">
        <v>416</v>
      </c>
      <c r="N665" s="17" t="s">
        <v>34</v>
      </c>
      <c r="O665" s="13"/>
      <c r="P665" s="13">
        <v>2</v>
      </c>
    </row>
    <row r="666" ht="15.6" spans="1:16">
      <c r="A666" s="10">
        <v>663</v>
      </c>
      <c r="B666" s="34" t="s">
        <v>1085</v>
      </c>
      <c r="C666" s="34" t="s">
        <v>1086</v>
      </c>
      <c r="D666" s="13" t="str">
        <f t="shared" si="52"/>
        <v>511721********5735</v>
      </c>
      <c r="E666" s="13" t="str">
        <f t="shared" si="53"/>
        <v>男</v>
      </c>
      <c r="F666" s="17">
        <f ca="1" t="shared" si="54"/>
        <v>19</v>
      </c>
      <c r="G666" s="13" t="s">
        <v>440</v>
      </c>
      <c r="H666" s="20"/>
      <c r="I666" s="13" t="s">
        <v>21</v>
      </c>
      <c r="J666" s="13" t="s">
        <v>973</v>
      </c>
      <c r="K666" s="13"/>
      <c r="L666" s="17"/>
      <c r="M666" s="13" t="s">
        <v>416</v>
      </c>
      <c r="N666" s="17" t="s">
        <v>34</v>
      </c>
      <c r="O666" s="13"/>
      <c r="P666" s="13"/>
    </row>
    <row r="667" spans="1:16">
      <c r="A667" s="10">
        <v>664</v>
      </c>
      <c r="B667" s="13" t="s">
        <v>1087</v>
      </c>
      <c r="C667" s="13" t="str">
        <f>"511721200802205719"</f>
        <v>511721200802205719</v>
      </c>
      <c r="D667" s="13" t="str">
        <f t="shared" si="52"/>
        <v>511721********5719</v>
      </c>
      <c r="E667" s="13" t="str">
        <f t="shared" si="53"/>
        <v>男</v>
      </c>
      <c r="F667" s="17">
        <f ca="1" t="shared" si="54"/>
        <v>16</v>
      </c>
      <c r="G667" s="13" t="s">
        <v>20</v>
      </c>
      <c r="H667" s="18">
        <v>240</v>
      </c>
      <c r="I667" s="13" t="s">
        <v>21</v>
      </c>
      <c r="J667" s="13" t="s">
        <v>973</v>
      </c>
      <c r="K667" s="13"/>
      <c r="L667" s="17"/>
      <c r="M667" s="13" t="s">
        <v>416</v>
      </c>
      <c r="N667" s="17"/>
      <c r="O667" s="13" t="s">
        <v>417</v>
      </c>
      <c r="P667" s="13">
        <v>1</v>
      </c>
    </row>
    <row r="668" spans="1:16">
      <c r="A668" s="10">
        <v>665</v>
      </c>
      <c r="B668" s="13" t="s">
        <v>1088</v>
      </c>
      <c r="C668" s="13" t="str">
        <f>"511721200603295715"</f>
        <v>511721200603295715</v>
      </c>
      <c r="D668" s="13" t="str">
        <f t="shared" si="52"/>
        <v>511721********5715</v>
      </c>
      <c r="E668" s="13" t="str">
        <f t="shared" si="53"/>
        <v>男</v>
      </c>
      <c r="F668" s="17">
        <f ca="1" t="shared" si="54"/>
        <v>18</v>
      </c>
      <c r="G668" s="13" t="s">
        <v>20</v>
      </c>
      <c r="H668" s="18">
        <v>440</v>
      </c>
      <c r="I668" s="13" t="s">
        <v>21</v>
      </c>
      <c r="J668" s="13" t="s">
        <v>973</v>
      </c>
      <c r="K668" s="13"/>
      <c r="L668" s="17" t="str">
        <f>VLOOKUP(C668,[1]Sheet1!$B$2:$U$630,20,0)</f>
        <v>听力二级;</v>
      </c>
      <c r="M668" s="13" t="s">
        <v>416</v>
      </c>
      <c r="N668" s="17" t="s">
        <v>34</v>
      </c>
      <c r="O668" s="13"/>
      <c r="P668" s="13">
        <v>4</v>
      </c>
    </row>
    <row r="669" ht="15.6" spans="1:16">
      <c r="A669" s="10">
        <v>666</v>
      </c>
      <c r="B669" s="34" t="s">
        <v>1089</v>
      </c>
      <c r="C669" s="34" t="s">
        <v>1090</v>
      </c>
      <c r="D669" s="13" t="str">
        <f t="shared" si="52"/>
        <v>513021********0978</v>
      </c>
      <c r="E669" s="13" t="str">
        <f t="shared" si="53"/>
        <v>男</v>
      </c>
      <c r="F669" s="17">
        <f ca="1" t="shared" si="54"/>
        <v>70</v>
      </c>
      <c r="G669" s="13" t="s">
        <v>440</v>
      </c>
      <c r="H669" s="20"/>
      <c r="I669" s="13" t="s">
        <v>21</v>
      </c>
      <c r="J669" s="13" t="s">
        <v>973</v>
      </c>
      <c r="K669" s="13"/>
      <c r="L669" s="17"/>
      <c r="M669" s="13" t="s">
        <v>416</v>
      </c>
      <c r="N669" s="17" t="s">
        <v>34</v>
      </c>
      <c r="O669" s="13"/>
      <c r="P669" s="13"/>
    </row>
    <row r="670" ht="15.6" spans="1:16">
      <c r="A670" s="10">
        <v>667</v>
      </c>
      <c r="B670" s="34" t="s">
        <v>1091</v>
      </c>
      <c r="C670" s="34" t="s">
        <v>1092</v>
      </c>
      <c r="D670" s="13" t="str">
        <f t="shared" si="52"/>
        <v>513021********0966</v>
      </c>
      <c r="E670" s="13" t="str">
        <f t="shared" si="53"/>
        <v>女</v>
      </c>
      <c r="F670" s="17">
        <f ca="1" t="shared" si="54"/>
        <v>39</v>
      </c>
      <c r="G670" s="13" t="s">
        <v>434</v>
      </c>
      <c r="H670" s="20"/>
      <c r="I670" s="13" t="s">
        <v>21</v>
      </c>
      <c r="J670" s="13" t="s">
        <v>973</v>
      </c>
      <c r="K670" s="13"/>
      <c r="L670" s="17"/>
      <c r="M670" s="13" t="s">
        <v>416</v>
      </c>
      <c r="N670" s="17" t="s">
        <v>34</v>
      </c>
      <c r="O670" s="13"/>
      <c r="P670" s="13"/>
    </row>
    <row r="671" ht="15.6" spans="1:16">
      <c r="A671" s="10">
        <v>668</v>
      </c>
      <c r="B671" s="34" t="s">
        <v>1093</v>
      </c>
      <c r="C671" s="34" t="s">
        <v>1094</v>
      </c>
      <c r="D671" s="13" t="str">
        <f t="shared" si="52"/>
        <v>511721********6150</v>
      </c>
      <c r="E671" s="13" t="str">
        <f t="shared" si="53"/>
        <v>男</v>
      </c>
      <c r="F671" s="17">
        <f ca="1" t="shared" si="54"/>
        <v>16</v>
      </c>
      <c r="G671" s="13" t="s">
        <v>492</v>
      </c>
      <c r="H671" s="20"/>
      <c r="I671" s="13" t="s">
        <v>21</v>
      </c>
      <c r="J671" s="13" t="s">
        <v>973</v>
      </c>
      <c r="K671" s="13"/>
      <c r="L671" s="17"/>
      <c r="M671" s="13" t="s">
        <v>416</v>
      </c>
      <c r="N671" s="17" t="s">
        <v>34</v>
      </c>
      <c r="O671" s="13"/>
      <c r="P671" s="13"/>
    </row>
    <row r="672" spans="1:16">
      <c r="A672" s="10">
        <v>669</v>
      </c>
      <c r="B672" s="13" t="s">
        <v>1095</v>
      </c>
      <c r="C672" s="13" t="str">
        <f>"513021199009060970"</f>
        <v>513021199009060970</v>
      </c>
      <c r="D672" s="13" t="str">
        <f t="shared" si="52"/>
        <v>513021********0970</v>
      </c>
      <c r="E672" s="13" t="str">
        <f t="shared" si="53"/>
        <v>男</v>
      </c>
      <c r="F672" s="17">
        <f ca="1" t="shared" si="54"/>
        <v>34</v>
      </c>
      <c r="G672" s="13" t="s">
        <v>20</v>
      </c>
      <c r="H672" s="18">
        <v>480</v>
      </c>
      <c r="I672" s="13" t="s">
        <v>21</v>
      </c>
      <c r="J672" s="13" t="s">
        <v>973</v>
      </c>
      <c r="K672" s="13"/>
      <c r="L672" s="17" t="str">
        <f>VLOOKUP(C672,[1]Sheet1!$B$2:$U$630,20,0)</f>
        <v>智力三级;</v>
      </c>
      <c r="M672" s="13" t="s">
        <v>416</v>
      </c>
      <c r="N672" s="17" t="s">
        <v>34</v>
      </c>
      <c r="O672" s="13"/>
      <c r="P672" s="13">
        <v>2</v>
      </c>
    </row>
    <row r="673" ht="15.6" spans="1:16">
      <c r="A673" s="10">
        <v>670</v>
      </c>
      <c r="B673" s="34" t="s">
        <v>1096</v>
      </c>
      <c r="C673" s="34" t="s">
        <v>1097</v>
      </c>
      <c r="D673" s="13" t="str">
        <f t="shared" si="52"/>
        <v>513021********0972</v>
      </c>
      <c r="E673" s="13" t="str">
        <f t="shared" si="53"/>
        <v>男</v>
      </c>
      <c r="F673" s="17">
        <f ca="1" t="shared" si="54"/>
        <v>64</v>
      </c>
      <c r="G673" s="13" t="s">
        <v>429</v>
      </c>
      <c r="H673" s="20"/>
      <c r="I673" s="13" t="s">
        <v>21</v>
      </c>
      <c r="J673" s="13" t="s">
        <v>973</v>
      </c>
      <c r="K673" s="13"/>
      <c r="L673" s="17"/>
      <c r="M673" s="13" t="s">
        <v>416</v>
      </c>
      <c r="N673" s="17" t="s">
        <v>34</v>
      </c>
      <c r="O673" s="13"/>
      <c r="P673" s="13"/>
    </row>
    <row r="674" ht="15.6" spans="1:16">
      <c r="A674" s="10">
        <v>671</v>
      </c>
      <c r="B674" s="34" t="s">
        <v>1098</v>
      </c>
      <c r="C674" s="34" t="s">
        <v>1099</v>
      </c>
      <c r="D674" s="13" t="str">
        <f t="shared" si="52"/>
        <v>513021********096X</v>
      </c>
      <c r="E674" s="13" t="str">
        <f t="shared" si="53"/>
        <v>女</v>
      </c>
      <c r="F674" s="17">
        <f ca="1" t="shared" si="54"/>
        <v>70</v>
      </c>
      <c r="G674" s="13" t="s">
        <v>20</v>
      </c>
      <c r="H674" s="18">
        <v>220</v>
      </c>
      <c r="I674" s="13" t="s">
        <v>21</v>
      </c>
      <c r="J674" s="13" t="s">
        <v>973</v>
      </c>
      <c r="K674" s="13"/>
      <c r="L674" s="17"/>
      <c r="M674" s="13" t="s">
        <v>416</v>
      </c>
      <c r="N674" s="17"/>
      <c r="O674" s="13" t="s">
        <v>23</v>
      </c>
      <c r="P674" s="13">
        <v>1</v>
      </c>
    </row>
    <row r="675" spans="1:16">
      <c r="A675" s="10">
        <v>672</v>
      </c>
      <c r="B675" s="13" t="s">
        <v>1100</v>
      </c>
      <c r="C675" s="13" t="str">
        <f>"513021195008210967"</f>
        <v>513021195008210967</v>
      </c>
      <c r="D675" s="13" t="str">
        <f t="shared" si="52"/>
        <v>513021********0967</v>
      </c>
      <c r="E675" s="13" t="str">
        <f t="shared" si="53"/>
        <v>女</v>
      </c>
      <c r="F675" s="17">
        <f ca="1" t="shared" si="54"/>
        <v>74</v>
      </c>
      <c r="G675" s="13" t="s">
        <v>20</v>
      </c>
      <c r="H675" s="18">
        <v>240</v>
      </c>
      <c r="I675" s="13" t="s">
        <v>21</v>
      </c>
      <c r="J675" s="13" t="s">
        <v>973</v>
      </c>
      <c r="K675" s="13"/>
      <c r="L675" s="17"/>
      <c r="M675" s="13" t="s">
        <v>416</v>
      </c>
      <c r="N675" s="17"/>
      <c r="O675" s="13" t="s">
        <v>417</v>
      </c>
      <c r="P675" s="13">
        <v>1</v>
      </c>
    </row>
    <row r="676" spans="1:16">
      <c r="A676" s="10">
        <v>673</v>
      </c>
      <c r="B676" s="13" t="s">
        <v>1101</v>
      </c>
      <c r="C676" s="13" t="str">
        <f>"513021195102090981"</f>
        <v>513021195102090981</v>
      </c>
      <c r="D676" s="13" t="str">
        <f t="shared" si="52"/>
        <v>513021********0981</v>
      </c>
      <c r="E676" s="13" t="str">
        <f t="shared" si="53"/>
        <v>女</v>
      </c>
      <c r="F676" s="17">
        <f ca="1" t="shared" si="54"/>
        <v>73</v>
      </c>
      <c r="G676" s="13" t="s">
        <v>20</v>
      </c>
      <c r="H676" s="18">
        <v>220</v>
      </c>
      <c r="I676" s="13" t="s">
        <v>21</v>
      </c>
      <c r="J676" s="13" t="s">
        <v>973</v>
      </c>
      <c r="K676" s="13"/>
      <c r="L676" s="17"/>
      <c r="M676" s="13" t="s">
        <v>416</v>
      </c>
      <c r="N676" s="17" t="s">
        <v>34</v>
      </c>
      <c r="O676" s="13"/>
      <c r="P676" s="13">
        <v>2</v>
      </c>
    </row>
    <row r="677" ht="15.6" spans="1:16">
      <c r="A677" s="10">
        <v>674</v>
      </c>
      <c r="B677" s="34" t="s">
        <v>1102</v>
      </c>
      <c r="C677" s="34" t="s">
        <v>1103</v>
      </c>
      <c r="D677" s="13" t="str">
        <f t="shared" si="52"/>
        <v>513021********0974</v>
      </c>
      <c r="E677" s="13" t="str">
        <f t="shared" si="53"/>
        <v>男</v>
      </c>
      <c r="F677" s="17">
        <f ca="1" t="shared" si="54"/>
        <v>71</v>
      </c>
      <c r="G677" s="13" t="s">
        <v>37</v>
      </c>
      <c r="H677" s="20"/>
      <c r="I677" s="13" t="s">
        <v>21</v>
      </c>
      <c r="J677" s="13" t="s">
        <v>973</v>
      </c>
      <c r="K677" s="13"/>
      <c r="L677" s="17"/>
      <c r="M677" s="13" t="s">
        <v>416</v>
      </c>
      <c r="N677" s="17" t="s">
        <v>34</v>
      </c>
      <c r="O677" s="13"/>
      <c r="P677" s="13"/>
    </row>
    <row r="678" spans="1:16">
      <c r="A678" s="10">
        <v>675</v>
      </c>
      <c r="B678" s="13" t="s">
        <v>1104</v>
      </c>
      <c r="C678" s="13" t="str">
        <f>"513021193210070962"</f>
        <v>513021193210070962</v>
      </c>
      <c r="D678" s="13" t="str">
        <f t="shared" si="52"/>
        <v>513021********0962</v>
      </c>
      <c r="E678" s="13" t="str">
        <f t="shared" si="53"/>
        <v>女</v>
      </c>
      <c r="F678" s="17">
        <f ca="1" t="shared" si="54"/>
        <v>92</v>
      </c>
      <c r="G678" s="13" t="s">
        <v>20</v>
      </c>
      <c r="H678" s="18">
        <v>176</v>
      </c>
      <c r="I678" s="13" t="s">
        <v>21</v>
      </c>
      <c r="J678" s="13" t="s">
        <v>973</v>
      </c>
      <c r="K678" s="13"/>
      <c r="L678" s="17"/>
      <c r="M678" s="13" t="s">
        <v>416</v>
      </c>
      <c r="N678" s="17" t="s">
        <v>34</v>
      </c>
      <c r="O678" s="13"/>
      <c r="P678" s="13">
        <v>4</v>
      </c>
    </row>
    <row r="679" ht="15.6" spans="1:16">
      <c r="A679" s="10">
        <v>676</v>
      </c>
      <c r="B679" s="34" t="s">
        <v>1105</v>
      </c>
      <c r="C679" s="34" t="s">
        <v>1106</v>
      </c>
      <c r="D679" s="13" t="str">
        <f t="shared" si="52"/>
        <v>513021********0998</v>
      </c>
      <c r="E679" s="13" t="str">
        <f t="shared" si="53"/>
        <v>男</v>
      </c>
      <c r="F679" s="17">
        <f ca="1" t="shared" si="54"/>
        <v>56</v>
      </c>
      <c r="G679" s="13" t="s">
        <v>434</v>
      </c>
      <c r="H679" s="20"/>
      <c r="I679" s="13" t="s">
        <v>21</v>
      </c>
      <c r="J679" s="13" t="s">
        <v>973</v>
      </c>
      <c r="K679" s="13"/>
      <c r="L679" s="17" t="str">
        <f>VLOOKUP(C679,[1]Sheet1!$B$2:$U$630,20,0)</f>
        <v>肢体四级;</v>
      </c>
      <c r="M679" s="13" t="s">
        <v>416</v>
      </c>
      <c r="N679" s="17" t="s">
        <v>34</v>
      </c>
      <c r="O679" s="13"/>
      <c r="P679" s="13"/>
    </row>
    <row r="680" ht="15.6" spans="1:16">
      <c r="A680" s="10">
        <v>677</v>
      </c>
      <c r="B680" s="34" t="s">
        <v>1107</v>
      </c>
      <c r="C680" s="34" t="s">
        <v>1108</v>
      </c>
      <c r="D680" s="13" t="str">
        <f t="shared" si="52"/>
        <v>513021********0960</v>
      </c>
      <c r="E680" s="13" t="str">
        <f t="shared" si="53"/>
        <v>女</v>
      </c>
      <c r="F680" s="17">
        <f ca="1" t="shared" si="54"/>
        <v>55</v>
      </c>
      <c r="G680" s="13" t="s">
        <v>437</v>
      </c>
      <c r="H680" s="20"/>
      <c r="I680" s="13" t="s">
        <v>21</v>
      </c>
      <c r="J680" s="13" t="s">
        <v>973</v>
      </c>
      <c r="K680" s="13"/>
      <c r="L680" s="17"/>
      <c r="M680" s="13" t="s">
        <v>416</v>
      </c>
      <c r="N680" s="17" t="s">
        <v>34</v>
      </c>
      <c r="O680" s="13"/>
      <c r="P680" s="13"/>
    </row>
    <row r="681" ht="15.6" spans="1:16">
      <c r="A681" s="10">
        <v>678</v>
      </c>
      <c r="B681" s="34" t="s">
        <v>1109</v>
      </c>
      <c r="C681" s="34" t="s">
        <v>1110</v>
      </c>
      <c r="D681" s="13" t="str">
        <f t="shared" si="52"/>
        <v>511721********5728</v>
      </c>
      <c r="E681" s="13" t="str">
        <f t="shared" si="53"/>
        <v>女</v>
      </c>
      <c r="F681" s="17">
        <f ca="1" t="shared" si="54"/>
        <v>22</v>
      </c>
      <c r="G681" s="13" t="s">
        <v>563</v>
      </c>
      <c r="H681" s="20"/>
      <c r="I681" s="13" t="s">
        <v>21</v>
      </c>
      <c r="J681" s="13" t="s">
        <v>973</v>
      </c>
      <c r="K681" s="13"/>
      <c r="L681" s="17"/>
      <c r="M681" s="13" t="s">
        <v>416</v>
      </c>
      <c r="N681" s="17" t="s">
        <v>34</v>
      </c>
      <c r="O681" s="13"/>
      <c r="P681" s="13"/>
    </row>
    <row r="682" spans="1:16">
      <c r="A682" s="10">
        <v>679</v>
      </c>
      <c r="B682" s="13" t="s">
        <v>1111</v>
      </c>
      <c r="C682" s="13" t="str">
        <f>"513021195411150968"</f>
        <v>513021195411150968</v>
      </c>
      <c r="D682" s="13" t="str">
        <f t="shared" si="52"/>
        <v>513021********0968</v>
      </c>
      <c r="E682" s="13" t="str">
        <f t="shared" si="53"/>
        <v>女</v>
      </c>
      <c r="F682" s="17">
        <f ca="1" t="shared" si="54"/>
        <v>70</v>
      </c>
      <c r="G682" s="13" t="s">
        <v>20</v>
      </c>
      <c r="H682" s="18">
        <v>240</v>
      </c>
      <c r="I682" s="13" t="s">
        <v>21</v>
      </c>
      <c r="J682" s="13" t="s">
        <v>973</v>
      </c>
      <c r="K682" s="13"/>
      <c r="L682" s="17"/>
      <c r="M682" s="13" t="s">
        <v>416</v>
      </c>
      <c r="N682" s="17"/>
      <c r="O682" s="13" t="s">
        <v>417</v>
      </c>
      <c r="P682" s="13">
        <v>1</v>
      </c>
    </row>
    <row r="683" spans="1:16">
      <c r="A683" s="10">
        <v>680</v>
      </c>
      <c r="B683" s="13" t="s">
        <v>1112</v>
      </c>
      <c r="C683" s="13" t="s">
        <v>1113</v>
      </c>
      <c r="D683" s="13" t="str">
        <f t="shared" si="52"/>
        <v>513021********096X</v>
      </c>
      <c r="E683" s="13" t="str">
        <f t="shared" si="53"/>
        <v>女</v>
      </c>
      <c r="F683" s="17">
        <f ca="1" t="shared" si="54"/>
        <v>61</v>
      </c>
      <c r="G683" s="13" t="s">
        <v>20</v>
      </c>
      <c r="H683" s="18">
        <v>220</v>
      </c>
      <c r="I683" s="13" t="s">
        <v>21</v>
      </c>
      <c r="J683" s="13" t="s">
        <v>973</v>
      </c>
      <c r="K683" s="13"/>
      <c r="L683" s="17"/>
      <c r="M683" s="13" t="s">
        <v>416</v>
      </c>
      <c r="N683" s="17" t="s">
        <v>34</v>
      </c>
      <c r="O683" s="13"/>
      <c r="P683" s="13">
        <v>4</v>
      </c>
    </row>
    <row r="684" ht="15.6" spans="1:16">
      <c r="A684" s="10">
        <v>681</v>
      </c>
      <c r="B684" s="34" t="s">
        <v>1114</v>
      </c>
      <c r="C684" s="34" t="s">
        <v>1115</v>
      </c>
      <c r="D684" s="13" t="str">
        <f t="shared" si="52"/>
        <v>513021********0092</v>
      </c>
      <c r="E684" s="13" t="str">
        <f t="shared" si="53"/>
        <v>男</v>
      </c>
      <c r="F684" s="17">
        <f ca="1" t="shared" si="54"/>
        <v>68</v>
      </c>
      <c r="G684" s="13" t="s">
        <v>37</v>
      </c>
      <c r="H684" s="20"/>
      <c r="I684" s="13" t="s">
        <v>21</v>
      </c>
      <c r="J684" s="13" t="s">
        <v>973</v>
      </c>
      <c r="K684" s="13"/>
      <c r="L684" s="17"/>
      <c r="M684" s="13" t="s">
        <v>416</v>
      </c>
      <c r="N684" s="17" t="s">
        <v>34</v>
      </c>
      <c r="O684" s="13"/>
      <c r="P684" s="13"/>
    </row>
    <row r="685" ht="15.6" spans="1:16">
      <c r="A685" s="10">
        <v>682</v>
      </c>
      <c r="B685" s="34" t="s">
        <v>1116</v>
      </c>
      <c r="C685" s="34" t="s">
        <v>1117</v>
      </c>
      <c r="D685" s="13" t="str">
        <f t="shared" si="52"/>
        <v>513021********0971</v>
      </c>
      <c r="E685" s="13" t="str">
        <f t="shared" si="53"/>
        <v>男</v>
      </c>
      <c r="F685" s="17">
        <f ca="1" t="shared" si="54"/>
        <v>35</v>
      </c>
      <c r="G685" s="13" t="s">
        <v>434</v>
      </c>
      <c r="H685" s="20"/>
      <c r="I685" s="13" t="s">
        <v>21</v>
      </c>
      <c r="J685" s="13" t="s">
        <v>973</v>
      </c>
      <c r="K685" s="13"/>
      <c r="L685" s="17"/>
      <c r="M685" s="13" t="s">
        <v>416</v>
      </c>
      <c r="N685" s="17" t="s">
        <v>34</v>
      </c>
      <c r="O685" s="13"/>
      <c r="P685" s="13"/>
    </row>
    <row r="686" ht="15.6" spans="1:16">
      <c r="A686" s="10">
        <v>683</v>
      </c>
      <c r="B686" s="34" t="s">
        <v>1118</v>
      </c>
      <c r="C686" s="34" t="s">
        <v>1119</v>
      </c>
      <c r="D686" s="13" t="str">
        <f t="shared" si="52"/>
        <v>511721********5728</v>
      </c>
      <c r="E686" s="13" t="str">
        <f t="shared" si="53"/>
        <v>女</v>
      </c>
      <c r="F686" s="17">
        <f ca="1" t="shared" si="54"/>
        <v>13</v>
      </c>
      <c r="G686" s="13" t="s">
        <v>440</v>
      </c>
      <c r="H686" s="20"/>
      <c r="I686" s="13" t="s">
        <v>21</v>
      </c>
      <c r="J686" s="13" t="s">
        <v>973</v>
      </c>
      <c r="K686" s="13"/>
      <c r="L686" s="17"/>
      <c r="M686" s="13" t="s">
        <v>416</v>
      </c>
      <c r="N686" s="17" t="s">
        <v>34</v>
      </c>
      <c r="O686" s="13"/>
      <c r="P686" s="13"/>
    </row>
    <row r="687" spans="1:16">
      <c r="A687" s="10">
        <v>684</v>
      </c>
      <c r="B687" s="13" t="s">
        <v>1120</v>
      </c>
      <c r="C687" s="13" t="str">
        <f>"513021195102190966"</f>
        <v>513021195102190966</v>
      </c>
      <c r="D687" s="13" t="str">
        <f t="shared" si="52"/>
        <v>513021********0966</v>
      </c>
      <c r="E687" s="13" t="str">
        <f t="shared" si="53"/>
        <v>女</v>
      </c>
      <c r="F687" s="17">
        <f ca="1" t="shared" si="54"/>
        <v>73</v>
      </c>
      <c r="G687" s="13" t="s">
        <v>20</v>
      </c>
      <c r="H687" s="18">
        <v>240</v>
      </c>
      <c r="I687" s="13" t="s">
        <v>21</v>
      </c>
      <c r="J687" s="13" t="s">
        <v>973</v>
      </c>
      <c r="K687" s="13"/>
      <c r="L687" s="17" t="str">
        <f>VLOOKUP(C687,[1]Sheet1!$B$2:$U$630,20,0)</f>
        <v>肢体三级;</v>
      </c>
      <c r="M687" s="13" t="s">
        <v>416</v>
      </c>
      <c r="N687" s="17"/>
      <c r="O687" s="13" t="s">
        <v>417</v>
      </c>
      <c r="P687" s="13">
        <v>1</v>
      </c>
    </row>
    <row r="688" spans="1:16">
      <c r="A688" s="10">
        <v>685</v>
      </c>
      <c r="B688" s="13" t="s">
        <v>1121</v>
      </c>
      <c r="C688" s="13" t="str">
        <f>"513021195501210960"</f>
        <v>513021195501210960</v>
      </c>
      <c r="D688" s="13" t="str">
        <f t="shared" si="52"/>
        <v>513021********0960</v>
      </c>
      <c r="E688" s="13" t="str">
        <f t="shared" si="53"/>
        <v>女</v>
      </c>
      <c r="F688" s="17">
        <f ca="1" t="shared" si="54"/>
        <v>69</v>
      </c>
      <c r="G688" s="13" t="s">
        <v>20</v>
      </c>
      <c r="H688" s="18">
        <v>880</v>
      </c>
      <c r="I688" s="13" t="s">
        <v>21</v>
      </c>
      <c r="J688" s="13" t="s">
        <v>973</v>
      </c>
      <c r="K688" s="13"/>
      <c r="L688" s="17"/>
      <c r="M688" s="13" t="s">
        <v>416</v>
      </c>
      <c r="N688" s="17" t="s">
        <v>34</v>
      </c>
      <c r="O688" s="13"/>
      <c r="P688" s="13">
        <v>4</v>
      </c>
    </row>
    <row r="689" ht="15.6" spans="1:16">
      <c r="A689" s="10">
        <v>686</v>
      </c>
      <c r="B689" s="34" t="s">
        <v>1122</v>
      </c>
      <c r="C689" s="34" t="s">
        <v>1123</v>
      </c>
      <c r="D689" s="13" t="str">
        <f t="shared" si="52"/>
        <v>513021********097X</v>
      </c>
      <c r="E689" s="13" t="str">
        <f t="shared" ref="E689:E723" si="55">IF(MOD(MID(C689,17,1),2)=1,"男","女")</f>
        <v>男</v>
      </c>
      <c r="F689" s="17">
        <f ca="1" t="shared" ref="F689:F723" si="56">YEAR(TODAY())-MID(C689,7,4)</f>
        <v>37</v>
      </c>
      <c r="G689" s="13" t="s">
        <v>434</v>
      </c>
      <c r="H689" s="20"/>
      <c r="I689" s="13" t="s">
        <v>21</v>
      </c>
      <c r="J689" s="13" t="s">
        <v>973</v>
      </c>
      <c r="K689" s="13"/>
      <c r="L689" s="17"/>
      <c r="M689" s="13" t="s">
        <v>416</v>
      </c>
      <c r="N689" s="17" t="s">
        <v>34</v>
      </c>
      <c r="O689" s="13"/>
      <c r="P689" s="13"/>
    </row>
    <row r="690" ht="15.6" spans="1:16">
      <c r="A690" s="10">
        <v>687</v>
      </c>
      <c r="B690" s="34" t="s">
        <v>1124</v>
      </c>
      <c r="C690" s="34" t="s">
        <v>1125</v>
      </c>
      <c r="D690" s="13" t="str">
        <f t="shared" si="52"/>
        <v>511721********5716</v>
      </c>
      <c r="E690" s="13" t="str">
        <f t="shared" si="55"/>
        <v>男</v>
      </c>
      <c r="F690" s="17">
        <f ca="1" t="shared" si="56"/>
        <v>9</v>
      </c>
      <c r="G690" s="13" t="s">
        <v>440</v>
      </c>
      <c r="H690" s="20"/>
      <c r="I690" s="13" t="s">
        <v>21</v>
      </c>
      <c r="J690" s="13" t="s">
        <v>973</v>
      </c>
      <c r="K690" s="13"/>
      <c r="L690" s="17"/>
      <c r="M690" s="13" t="s">
        <v>416</v>
      </c>
      <c r="N690" s="17" t="s">
        <v>34</v>
      </c>
      <c r="O690" s="13"/>
      <c r="P690" s="13"/>
    </row>
    <row r="691" ht="15.6" spans="1:16">
      <c r="A691" s="10">
        <v>688</v>
      </c>
      <c r="B691" s="34" t="s">
        <v>1126</v>
      </c>
      <c r="C691" s="34" t="s">
        <v>1127</v>
      </c>
      <c r="D691" s="13" t="str">
        <f t="shared" si="52"/>
        <v>511721********5727</v>
      </c>
      <c r="E691" s="13" t="str">
        <f t="shared" si="55"/>
        <v>女</v>
      </c>
      <c r="F691" s="17">
        <f ca="1" t="shared" si="56"/>
        <v>11</v>
      </c>
      <c r="G691" s="13" t="s">
        <v>440</v>
      </c>
      <c r="H691" s="20"/>
      <c r="I691" s="13" t="s">
        <v>21</v>
      </c>
      <c r="J691" s="13" t="s">
        <v>973</v>
      </c>
      <c r="K691" s="13"/>
      <c r="L691" s="17"/>
      <c r="M691" s="13" t="s">
        <v>416</v>
      </c>
      <c r="N691" s="17" t="s">
        <v>34</v>
      </c>
      <c r="O691" s="13"/>
      <c r="P691" s="13"/>
    </row>
    <row r="692" spans="1:16">
      <c r="A692" s="10">
        <v>689</v>
      </c>
      <c r="B692" s="13" t="s">
        <v>1128</v>
      </c>
      <c r="C692" s="13" t="str">
        <f>"513021195610010968"</f>
        <v>513021195610010968</v>
      </c>
      <c r="D692" s="13" t="str">
        <f t="shared" si="52"/>
        <v>513021********0968</v>
      </c>
      <c r="E692" s="13" t="str">
        <f t="shared" si="55"/>
        <v>女</v>
      </c>
      <c r="F692" s="17">
        <f ca="1" t="shared" si="56"/>
        <v>68</v>
      </c>
      <c r="G692" s="13" t="s">
        <v>20</v>
      </c>
      <c r="H692" s="18">
        <v>220</v>
      </c>
      <c r="I692" s="13" t="s">
        <v>21</v>
      </c>
      <c r="J692" s="13" t="s">
        <v>973</v>
      </c>
      <c r="K692" s="13"/>
      <c r="L692" s="17"/>
      <c r="M692" s="13" t="s">
        <v>416</v>
      </c>
      <c r="N692" s="17" t="s">
        <v>34</v>
      </c>
      <c r="O692" s="13"/>
      <c r="P692" s="13">
        <v>2</v>
      </c>
    </row>
    <row r="693" ht="15.6" spans="1:16">
      <c r="A693" s="10">
        <v>690</v>
      </c>
      <c r="B693" s="34" t="s">
        <v>1129</v>
      </c>
      <c r="C693" s="34" t="s">
        <v>1130</v>
      </c>
      <c r="D693" s="13" t="str">
        <f t="shared" si="52"/>
        <v>513021********0976</v>
      </c>
      <c r="E693" s="13" t="str">
        <f t="shared" si="55"/>
        <v>男</v>
      </c>
      <c r="F693" s="17">
        <f ca="1" t="shared" si="56"/>
        <v>68</v>
      </c>
      <c r="G693" s="13" t="s">
        <v>37</v>
      </c>
      <c r="H693" s="20"/>
      <c r="I693" s="13" t="s">
        <v>21</v>
      </c>
      <c r="J693" s="13" t="s">
        <v>973</v>
      </c>
      <c r="K693" s="13"/>
      <c r="L693" s="17"/>
      <c r="M693" s="13" t="s">
        <v>416</v>
      </c>
      <c r="N693" s="17" t="s">
        <v>34</v>
      </c>
      <c r="O693" s="13"/>
      <c r="P693" s="13"/>
    </row>
    <row r="694" spans="1:16">
      <c r="A694" s="10">
        <v>691</v>
      </c>
      <c r="B694" s="13" t="s">
        <v>1131</v>
      </c>
      <c r="C694" s="13" t="str">
        <f>"513021195212170966"</f>
        <v>513021195212170966</v>
      </c>
      <c r="D694" s="13" t="str">
        <f t="shared" si="52"/>
        <v>513021********0966</v>
      </c>
      <c r="E694" s="13" t="str">
        <f t="shared" si="55"/>
        <v>女</v>
      </c>
      <c r="F694" s="17">
        <f ca="1" t="shared" si="56"/>
        <v>72</v>
      </c>
      <c r="G694" s="13" t="s">
        <v>20</v>
      </c>
      <c r="H694" s="18">
        <v>240</v>
      </c>
      <c r="I694" s="13" t="s">
        <v>21</v>
      </c>
      <c r="J694" s="13" t="s">
        <v>973</v>
      </c>
      <c r="K694" s="13"/>
      <c r="L694" s="17" t="str">
        <f>VLOOKUP(C694,[1]Sheet1!$B$2:$U$630,20,0)</f>
        <v>视力一级;</v>
      </c>
      <c r="M694" s="13" t="s">
        <v>416</v>
      </c>
      <c r="N694" s="17"/>
      <c r="O694" s="13" t="s">
        <v>417</v>
      </c>
      <c r="P694" s="13">
        <v>1</v>
      </c>
    </row>
    <row r="695" spans="1:16">
      <c r="A695" s="10">
        <v>692</v>
      </c>
      <c r="B695" s="13" t="s">
        <v>1132</v>
      </c>
      <c r="C695" s="13" t="str">
        <f>"513021196612020961"</f>
        <v>513021196612020961</v>
      </c>
      <c r="D695" s="13" t="str">
        <f t="shared" si="52"/>
        <v>513021********0961</v>
      </c>
      <c r="E695" s="13" t="str">
        <f t="shared" si="55"/>
        <v>女</v>
      </c>
      <c r="F695" s="17">
        <f ca="1" t="shared" si="56"/>
        <v>58</v>
      </c>
      <c r="G695" s="13" t="s">
        <v>20</v>
      </c>
      <c r="H695" s="18">
        <v>240</v>
      </c>
      <c r="I695" s="13" t="s">
        <v>21</v>
      </c>
      <c r="J695" s="13" t="s">
        <v>973</v>
      </c>
      <c r="K695" s="13"/>
      <c r="L695" s="17" t="str">
        <f>VLOOKUP(C695,[1]Sheet1!$B$2:$U$630,20,0)</f>
        <v>肢体二级;</v>
      </c>
      <c r="M695" s="13" t="s">
        <v>416</v>
      </c>
      <c r="N695" s="17"/>
      <c r="O695" s="13" t="s">
        <v>417</v>
      </c>
      <c r="P695" s="13">
        <v>1</v>
      </c>
    </row>
    <row r="696" spans="1:16">
      <c r="A696" s="10">
        <v>693</v>
      </c>
      <c r="B696" s="13" t="s">
        <v>1133</v>
      </c>
      <c r="C696" s="13" t="str">
        <f>"513021194908080964"</f>
        <v>513021194908080964</v>
      </c>
      <c r="D696" s="13" t="str">
        <f t="shared" si="52"/>
        <v>513021********0964</v>
      </c>
      <c r="E696" s="13" t="str">
        <f t="shared" si="55"/>
        <v>女</v>
      </c>
      <c r="F696" s="17">
        <f ca="1" t="shared" si="56"/>
        <v>75</v>
      </c>
      <c r="G696" s="13" t="s">
        <v>20</v>
      </c>
      <c r="H696" s="18">
        <v>240</v>
      </c>
      <c r="I696" s="13" t="s">
        <v>21</v>
      </c>
      <c r="J696" s="13" t="s">
        <v>973</v>
      </c>
      <c r="K696" s="13"/>
      <c r="L696" s="17"/>
      <c r="M696" s="13" t="s">
        <v>416</v>
      </c>
      <c r="N696" s="17"/>
      <c r="O696" s="13" t="s">
        <v>417</v>
      </c>
      <c r="P696" s="13">
        <v>1</v>
      </c>
    </row>
    <row r="697" spans="1:16">
      <c r="A697" s="10">
        <v>694</v>
      </c>
      <c r="B697" s="13" t="s">
        <v>1134</v>
      </c>
      <c r="C697" s="13" t="str">
        <f>"513021194711100968"</f>
        <v>513021194711100968</v>
      </c>
      <c r="D697" s="13" t="str">
        <f t="shared" si="52"/>
        <v>513021********0968</v>
      </c>
      <c r="E697" s="13" t="str">
        <f t="shared" si="55"/>
        <v>女</v>
      </c>
      <c r="F697" s="17">
        <f ca="1" t="shared" si="56"/>
        <v>77</v>
      </c>
      <c r="G697" s="13" t="s">
        <v>20</v>
      </c>
      <c r="H697" s="18">
        <v>240</v>
      </c>
      <c r="I697" s="13" t="s">
        <v>21</v>
      </c>
      <c r="J697" s="13" t="s">
        <v>973</v>
      </c>
      <c r="K697" s="13"/>
      <c r="L697" s="17"/>
      <c r="M697" s="13" t="s">
        <v>416</v>
      </c>
      <c r="N697" s="17"/>
      <c r="O697" s="13" t="s">
        <v>417</v>
      </c>
      <c r="P697" s="13">
        <v>1</v>
      </c>
    </row>
    <row r="698" spans="1:16">
      <c r="A698" s="10">
        <v>695</v>
      </c>
      <c r="B698" s="13" t="s">
        <v>1135</v>
      </c>
      <c r="C698" s="13" t="str">
        <f>"513021193804080973"</f>
        <v>513021193804080973</v>
      </c>
      <c r="D698" s="13" t="str">
        <f t="shared" si="52"/>
        <v>513021********0973</v>
      </c>
      <c r="E698" s="13" t="str">
        <f t="shared" si="55"/>
        <v>男</v>
      </c>
      <c r="F698" s="17">
        <f ca="1" t="shared" si="56"/>
        <v>86</v>
      </c>
      <c r="G698" s="13" t="s">
        <v>20</v>
      </c>
      <c r="H698" s="18">
        <v>220</v>
      </c>
      <c r="I698" s="13" t="s">
        <v>21</v>
      </c>
      <c r="J698" s="13" t="s">
        <v>973</v>
      </c>
      <c r="K698" s="13"/>
      <c r="L698" s="17"/>
      <c r="M698" s="13" t="s">
        <v>416</v>
      </c>
      <c r="N698" s="17" t="s">
        <v>34</v>
      </c>
      <c r="O698" s="13"/>
      <c r="P698" s="13">
        <v>4</v>
      </c>
    </row>
    <row r="699" ht="15.6" spans="1:16">
      <c r="A699" s="10">
        <v>696</v>
      </c>
      <c r="B699" s="34" t="s">
        <v>1136</v>
      </c>
      <c r="C699" s="34" t="s">
        <v>1137</v>
      </c>
      <c r="D699" s="13" t="str">
        <f t="shared" si="52"/>
        <v>513021********097X</v>
      </c>
      <c r="E699" s="13" t="str">
        <f t="shared" si="55"/>
        <v>男</v>
      </c>
      <c r="F699" s="17">
        <f ca="1" t="shared" si="56"/>
        <v>61</v>
      </c>
      <c r="G699" s="13" t="s">
        <v>429</v>
      </c>
      <c r="H699" s="20"/>
      <c r="I699" s="13" t="s">
        <v>21</v>
      </c>
      <c r="J699" s="13" t="s">
        <v>973</v>
      </c>
      <c r="K699" s="13"/>
      <c r="L699" s="17"/>
      <c r="M699" s="13" t="s">
        <v>416</v>
      </c>
      <c r="N699" s="17" t="s">
        <v>34</v>
      </c>
      <c r="O699" s="13"/>
      <c r="P699" s="13"/>
    </row>
    <row r="700" ht="15.6" spans="1:16">
      <c r="A700" s="10">
        <v>697</v>
      </c>
      <c r="B700" s="34" t="s">
        <v>1138</v>
      </c>
      <c r="C700" s="34" t="s">
        <v>1139</v>
      </c>
      <c r="D700" s="13" t="str">
        <f t="shared" si="52"/>
        <v>513021********0965</v>
      </c>
      <c r="E700" s="13" t="str">
        <f t="shared" si="55"/>
        <v>女</v>
      </c>
      <c r="F700" s="17">
        <f ca="1" t="shared" si="56"/>
        <v>59</v>
      </c>
      <c r="G700" s="13" t="s">
        <v>437</v>
      </c>
      <c r="H700" s="20"/>
      <c r="I700" s="13" t="s">
        <v>21</v>
      </c>
      <c r="J700" s="13" t="s">
        <v>973</v>
      </c>
      <c r="K700" s="13"/>
      <c r="L700" s="17"/>
      <c r="M700" s="13" t="s">
        <v>416</v>
      </c>
      <c r="N700" s="17" t="s">
        <v>34</v>
      </c>
      <c r="O700" s="13"/>
      <c r="P700" s="13"/>
    </row>
    <row r="701" ht="15.6" spans="1:16">
      <c r="A701" s="10">
        <v>698</v>
      </c>
      <c r="B701" s="34" t="s">
        <v>1140</v>
      </c>
      <c r="C701" s="34" t="s">
        <v>1141</v>
      </c>
      <c r="D701" s="13" t="str">
        <f t="shared" si="52"/>
        <v>511721********5785</v>
      </c>
      <c r="E701" s="13" t="str">
        <f t="shared" si="55"/>
        <v>女</v>
      </c>
      <c r="F701" s="17">
        <f ca="1" t="shared" si="56"/>
        <v>15</v>
      </c>
      <c r="G701" s="13" t="s">
        <v>950</v>
      </c>
      <c r="H701" s="20"/>
      <c r="I701" s="13" t="s">
        <v>21</v>
      </c>
      <c r="J701" s="13" t="s">
        <v>973</v>
      </c>
      <c r="K701" s="13"/>
      <c r="L701" s="17"/>
      <c r="M701" s="13" t="s">
        <v>416</v>
      </c>
      <c r="N701" s="17" t="s">
        <v>34</v>
      </c>
      <c r="O701" s="13"/>
      <c r="P701" s="13"/>
    </row>
    <row r="702" spans="1:16">
      <c r="A702" s="10">
        <v>699</v>
      </c>
      <c r="B702" s="13" t="s">
        <v>1142</v>
      </c>
      <c r="C702" s="13" t="str">
        <f>"513021193706180962"</f>
        <v>513021193706180962</v>
      </c>
      <c r="D702" s="13" t="str">
        <f t="shared" si="52"/>
        <v>513021********0962</v>
      </c>
      <c r="E702" s="13" t="str">
        <f t="shared" si="55"/>
        <v>女</v>
      </c>
      <c r="F702" s="17">
        <f ca="1" t="shared" si="56"/>
        <v>87</v>
      </c>
      <c r="G702" s="13" t="s">
        <v>20</v>
      </c>
      <c r="H702" s="18">
        <v>220</v>
      </c>
      <c r="I702" s="13" t="s">
        <v>21</v>
      </c>
      <c r="J702" s="13" t="s">
        <v>973</v>
      </c>
      <c r="K702" s="13"/>
      <c r="L702" s="17"/>
      <c r="M702" s="13" t="s">
        <v>416</v>
      </c>
      <c r="N702" s="17" t="s">
        <v>34</v>
      </c>
      <c r="O702" s="13"/>
      <c r="P702" s="13">
        <v>3</v>
      </c>
    </row>
    <row r="703" ht="15.6" spans="1:16">
      <c r="A703" s="10">
        <v>700</v>
      </c>
      <c r="B703" s="34" t="s">
        <v>1143</v>
      </c>
      <c r="C703" s="34" t="s">
        <v>1144</v>
      </c>
      <c r="D703" s="13" t="str">
        <f t="shared" si="52"/>
        <v>513021********0972</v>
      </c>
      <c r="E703" s="13" t="str">
        <f t="shared" si="55"/>
        <v>男</v>
      </c>
      <c r="F703" s="17">
        <f ca="1" t="shared" si="56"/>
        <v>57</v>
      </c>
      <c r="G703" s="13" t="s">
        <v>434</v>
      </c>
      <c r="H703" s="20"/>
      <c r="I703" s="13" t="s">
        <v>21</v>
      </c>
      <c r="J703" s="13" t="s">
        <v>973</v>
      </c>
      <c r="K703" s="13"/>
      <c r="L703" s="17" t="str">
        <f>VLOOKUP(C703,[1]Sheet1!$B$2:$U$630,20,0)</f>
        <v>视力四级;肢体四级;</v>
      </c>
      <c r="M703" s="13" t="s">
        <v>416</v>
      </c>
      <c r="N703" s="17" t="s">
        <v>34</v>
      </c>
      <c r="O703" s="13"/>
      <c r="P703" s="13"/>
    </row>
    <row r="704" ht="15.6" spans="1:16">
      <c r="A704" s="10">
        <v>701</v>
      </c>
      <c r="B704" s="34" t="s">
        <v>1145</v>
      </c>
      <c r="C704" s="34" t="s">
        <v>1146</v>
      </c>
      <c r="D704" s="13" t="str">
        <f t="shared" si="52"/>
        <v>513021********0968</v>
      </c>
      <c r="E704" s="13" t="str">
        <f t="shared" si="55"/>
        <v>女</v>
      </c>
      <c r="F704" s="17">
        <f ca="1" t="shared" si="56"/>
        <v>31</v>
      </c>
      <c r="G704" s="13" t="s">
        <v>563</v>
      </c>
      <c r="H704" s="20"/>
      <c r="I704" s="13" t="s">
        <v>21</v>
      </c>
      <c r="J704" s="13" t="s">
        <v>973</v>
      </c>
      <c r="K704" s="13"/>
      <c r="L704" s="17"/>
      <c r="M704" s="13" t="s">
        <v>416</v>
      </c>
      <c r="N704" s="17" t="s">
        <v>34</v>
      </c>
      <c r="O704" s="13"/>
      <c r="P704" s="13"/>
    </row>
    <row r="705" spans="1:16">
      <c r="A705" s="10">
        <v>702</v>
      </c>
      <c r="B705" s="13" t="s">
        <v>1147</v>
      </c>
      <c r="C705" s="13" t="str">
        <f>"513021194508120963"</f>
        <v>513021194508120963</v>
      </c>
      <c r="D705" s="13" t="str">
        <f t="shared" si="52"/>
        <v>513021********0963</v>
      </c>
      <c r="E705" s="13" t="str">
        <f t="shared" si="55"/>
        <v>女</v>
      </c>
      <c r="F705" s="17">
        <f ca="1" t="shared" si="56"/>
        <v>79</v>
      </c>
      <c r="G705" s="13" t="s">
        <v>20</v>
      </c>
      <c r="H705" s="18">
        <v>240</v>
      </c>
      <c r="I705" s="13" t="s">
        <v>21</v>
      </c>
      <c r="J705" s="13" t="s">
        <v>973</v>
      </c>
      <c r="K705" s="13"/>
      <c r="L705" s="17"/>
      <c r="M705" s="13" t="s">
        <v>416</v>
      </c>
      <c r="N705" s="17" t="s">
        <v>34</v>
      </c>
      <c r="O705" s="13"/>
      <c r="P705" s="13">
        <v>2</v>
      </c>
    </row>
    <row r="706" ht="15.6" spans="1:16">
      <c r="A706" s="10">
        <v>703</v>
      </c>
      <c r="B706" s="34" t="s">
        <v>1148</v>
      </c>
      <c r="C706" s="34" t="s">
        <v>1149</v>
      </c>
      <c r="D706" s="13" t="str">
        <f t="shared" si="52"/>
        <v>513021********097X</v>
      </c>
      <c r="E706" s="13" t="str">
        <f t="shared" si="55"/>
        <v>男</v>
      </c>
      <c r="F706" s="17">
        <f ca="1" t="shared" si="56"/>
        <v>51</v>
      </c>
      <c r="G706" s="13" t="s">
        <v>434</v>
      </c>
      <c r="H706" s="20"/>
      <c r="I706" s="13" t="s">
        <v>21</v>
      </c>
      <c r="J706" s="13" t="s">
        <v>973</v>
      </c>
      <c r="K706" s="13"/>
      <c r="L706" s="17"/>
      <c r="M706" s="13" t="s">
        <v>416</v>
      </c>
      <c r="N706" s="17" t="s">
        <v>34</v>
      </c>
      <c r="O706" s="13"/>
      <c r="P706" s="13"/>
    </row>
    <row r="707" spans="1:16">
      <c r="A707" s="10">
        <v>704</v>
      </c>
      <c r="B707" s="13" t="s">
        <v>1150</v>
      </c>
      <c r="C707" s="13" t="str">
        <f>"513021194710260978"</f>
        <v>513021194710260978</v>
      </c>
      <c r="D707" s="13" t="str">
        <f t="shared" si="52"/>
        <v>513021********0978</v>
      </c>
      <c r="E707" s="13" t="str">
        <f t="shared" si="55"/>
        <v>男</v>
      </c>
      <c r="F707" s="17">
        <f ca="1" t="shared" si="56"/>
        <v>77</v>
      </c>
      <c r="G707" s="13" t="s">
        <v>20</v>
      </c>
      <c r="H707" s="18">
        <v>240</v>
      </c>
      <c r="I707" s="13" t="s">
        <v>21</v>
      </c>
      <c r="J707" s="13" t="s">
        <v>973</v>
      </c>
      <c r="K707" s="13"/>
      <c r="L707" s="17"/>
      <c r="M707" s="17" t="s">
        <v>278</v>
      </c>
      <c r="N707" s="17"/>
      <c r="O707" s="13" t="s">
        <v>417</v>
      </c>
      <c r="P707" s="13">
        <v>1</v>
      </c>
    </row>
    <row r="708" spans="1:16">
      <c r="A708" s="10">
        <v>705</v>
      </c>
      <c r="B708" s="13" t="s">
        <v>1151</v>
      </c>
      <c r="C708" s="13" t="str">
        <f>"513021196002130979"</f>
        <v>513021196002130979</v>
      </c>
      <c r="D708" s="13" t="str">
        <f t="shared" si="52"/>
        <v>513021********0979</v>
      </c>
      <c r="E708" s="13" t="str">
        <f t="shared" si="55"/>
        <v>男</v>
      </c>
      <c r="F708" s="17">
        <f ca="1" t="shared" si="56"/>
        <v>64</v>
      </c>
      <c r="G708" s="13" t="s">
        <v>20</v>
      </c>
      <c r="H708" s="18">
        <v>220</v>
      </c>
      <c r="I708" s="13" t="s">
        <v>21</v>
      </c>
      <c r="J708" s="13" t="s">
        <v>973</v>
      </c>
      <c r="K708" s="13"/>
      <c r="L708" s="17"/>
      <c r="M708" s="13" t="s">
        <v>416</v>
      </c>
      <c r="N708" s="17" t="s">
        <v>34</v>
      </c>
      <c r="O708" s="13"/>
      <c r="P708" s="13">
        <v>2</v>
      </c>
    </row>
    <row r="709" ht="15.6" spans="1:16">
      <c r="A709" s="10">
        <v>706</v>
      </c>
      <c r="B709" s="34" t="s">
        <v>1152</v>
      </c>
      <c r="C709" s="34" t="s">
        <v>1153</v>
      </c>
      <c r="D709" s="13" t="str">
        <f t="shared" ref="D709:D772" si="57">REPLACE(C709,7,8,"********")</f>
        <v>513021********0969</v>
      </c>
      <c r="E709" s="13" t="str">
        <f t="shared" si="55"/>
        <v>女</v>
      </c>
      <c r="F709" s="17">
        <f ca="1" t="shared" si="56"/>
        <v>68</v>
      </c>
      <c r="G709" s="13" t="s">
        <v>37</v>
      </c>
      <c r="H709" s="20"/>
      <c r="I709" s="13" t="s">
        <v>21</v>
      </c>
      <c r="J709" s="13" t="s">
        <v>973</v>
      </c>
      <c r="K709" s="13"/>
      <c r="L709" s="17"/>
      <c r="M709" s="13" t="s">
        <v>416</v>
      </c>
      <c r="N709" s="17" t="s">
        <v>34</v>
      </c>
      <c r="O709" s="13"/>
      <c r="P709" s="13"/>
    </row>
    <row r="710" spans="1:16">
      <c r="A710" s="10">
        <v>707</v>
      </c>
      <c r="B710" s="13" t="s">
        <v>1154</v>
      </c>
      <c r="C710" s="13" t="str">
        <f>"513021194103045723"</f>
        <v>513021194103045723</v>
      </c>
      <c r="D710" s="13" t="str">
        <f t="shared" si="57"/>
        <v>513021********5723</v>
      </c>
      <c r="E710" s="13" t="str">
        <f t="shared" si="55"/>
        <v>女</v>
      </c>
      <c r="F710" s="17">
        <f ca="1" t="shared" si="56"/>
        <v>83</v>
      </c>
      <c r="G710" s="13" t="s">
        <v>20</v>
      </c>
      <c r="H710" s="18">
        <v>240</v>
      </c>
      <c r="I710" s="13" t="s">
        <v>21</v>
      </c>
      <c r="J710" s="13" t="s">
        <v>973</v>
      </c>
      <c r="K710" s="13"/>
      <c r="L710" s="17"/>
      <c r="M710" s="13" t="s">
        <v>416</v>
      </c>
      <c r="N710" s="17"/>
      <c r="O710" s="13" t="s">
        <v>417</v>
      </c>
      <c r="P710" s="13">
        <v>1</v>
      </c>
    </row>
    <row r="711" spans="1:16">
      <c r="A711" s="10">
        <v>708</v>
      </c>
      <c r="B711" s="13" t="s">
        <v>1155</v>
      </c>
      <c r="C711" s="13" t="str">
        <f>"513021193004220974"</f>
        <v>513021193004220974</v>
      </c>
      <c r="D711" s="13" t="str">
        <f t="shared" si="57"/>
        <v>513021********0974</v>
      </c>
      <c r="E711" s="13" t="str">
        <f t="shared" si="55"/>
        <v>男</v>
      </c>
      <c r="F711" s="17">
        <f ca="1" t="shared" si="56"/>
        <v>94</v>
      </c>
      <c r="G711" s="13" t="s">
        <v>20</v>
      </c>
      <c r="H711" s="18">
        <v>240</v>
      </c>
      <c r="I711" s="13" t="s">
        <v>21</v>
      </c>
      <c r="J711" s="13" t="s">
        <v>973</v>
      </c>
      <c r="K711" s="13"/>
      <c r="L711" s="17" t="str">
        <f>VLOOKUP(C711,[1]Sheet1!$B$2:$U$630,20,0)</f>
        <v>听力二级;</v>
      </c>
      <c r="M711" s="13" t="s">
        <v>416</v>
      </c>
      <c r="N711" s="17"/>
      <c r="O711" s="13" t="s">
        <v>417</v>
      </c>
      <c r="P711" s="13">
        <v>1</v>
      </c>
    </row>
    <row r="712" spans="1:16">
      <c r="A712" s="10">
        <v>709</v>
      </c>
      <c r="B712" s="13" t="s">
        <v>1156</v>
      </c>
      <c r="C712" s="13" t="str">
        <f>"513021194501090976"</f>
        <v>513021194501090976</v>
      </c>
      <c r="D712" s="13" t="str">
        <f t="shared" si="57"/>
        <v>513021********0976</v>
      </c>
      <c r="E712" s="13" t="str">
        <f t="shared" si="55"/>
        <v>男</v>
      </c>
      <c r="F712" s="17">
        <f ca="1" t="shared" si="56"/>
        <v>79</v>
      </c>
      <c r="G712" s="13" t="s">
        <v>20</v>
      </c>
      <c r="H712" s="18">
        <v>380</v>
      </c>
      <c r="I712" s="13" t="s">
        <v>21</v>
      </c>
      <c r="J712" s="13" t="s">
        <v>973</v>
      </c>
      <c r="K712" s="13"/>
      <c r="L712" s="17"/>
      <c r="M712" s="13" t="s">
        <v>416</v>
      </c>
      <c r="N712" s="17"/>
      <c r="O712" s="13" t="s">
        <v>417</v>
      </c>
      <c r="P712" s="13">
        <v>1</v>
      </c>
    </row>
    <row r="713" spans="1:16">
      <c r="A713" s="10">
        <v>710</v>
      </c>
      <c r="B713" s="13" t="s">
        <v>1157</v>
      </c>
      <c r="C713" s="13" t="str">
        <f>"513021195011120970"</f>
        <v>513021195011120970</v>
      </c>
      <c r="D713" s="13" t="str">
        <f t="shared" si="57"/>
        <v>513021********0970</v>
      </c>
      <c r="E713" s="13" t="str">
        <f t="shared" si="55"/>
        <v>男</v>
      </c>
      <c r="F713" s="17">
        <f ca="1" t="shared" si="56"/>
        <v>74</v>
      </c>
      <c r="G713" s="13" t="s">
        <v>20</v>
      </c>
      <c r="H713" s="18">
        <v>240</v>
      </c>
      <c r="I713" s="13" t="s">
        <v>21</v>
      </c>
      <c r="J713" s="13" t="s">
        <v>973</v>
      </c>
      <c r="K713" s="13"/>
      <c r="L713" s="17" t="str">
        <f>VLOOKUP(C713,[1]Sheet1!$B$2:$U$630,20,0)</f>
        <v>肢体四级;</v>
      </c>
      <c r="M713" s="13" t="s">
        <v>416</v>
      </c>
      <c r="N713" s="17"/>
      <c r="O713" s="13" t="s">
        <v>417</v>
      </c>
      <c r="P713" s="13">
        <v>1</v>
      </c>
    </row>
    <row r="714" spans="1:16">
      <c r="A714" s="10">
        <v>711</v>
      </c>
      <c r="B714" s="13" t="s">
        <v>1158</v>
      </c>
      <c r="C714" s="13" t="str">
        <f>"513021196909100970"</f>
        <v>513021196909100970</v>
      </c>
      <c r="D714" s="13" t="str">
        <f t="shared" si="57"/>
        <v>513021********0970</v>
      </c>
      <c r="E714" s="13" t="str">
        <f t="shared" si="55"/>
        <v>男</v>
      </c>
      <c r="F714" s="17">
        <f ca="1" t="shared" si="56"/>
        <v>55</v>
      </c>
      <c r="G714" s="13" t="s">
        <v>20</v>
      </c>
      <c r="H714" s="18">
        <v>240</v>
      </c>
      <c r="I714" s="13" t="s">
        <v>21</v>
      </c>
      <c r="J714" s="13" t="s">
        <v>973</v>
      </c>
      <c r="K714" s="13"/>
      <c r="L714" s="17"/>
      <c r="M714" s="13" t="s">
        <v>416</v>
      </c>
      <c r="N714" s="17" t="s">
        <v>34</v>
      </c>
      <c r="O714" s="13" t="s">
        <v>417</v>
      </c>
      <c r="P714" s="13">
        <v>1</v>
      </c>
    </row>
    <row r="715" spans="1:16">
      <c r="A715" s="10">
        <v>712</v>
      </c>
      <c r="B715" s="13" t="s">
        <v>1159</v>
      </c>
      <c r="C715" s="13" t="str">
        <f>"513021196904070995"</f>
        <v>513021196904070995</v>
      </c>
      <c r="D715" s="13" t="str">
        <f t="shared" si="57"/>
        <v>513021********0995</v>
      </c>
      <c r="E715" s="13" t="str">
        <f t="shared" si="55"/>
        <v>男</v>
      </c>
      <c r="F715" s="17">
        <f ca="1" t="shared" si="56"/>
        <v>55</v>
      </c>
      <c r="G715" s="13" t="s">
        <v>20</v>
      </c>
      <c r="H715" s="18">
        <v>240</v>
      </c>
      <c r="I715" s="13" t="s">
        <v>21</v>
      </c>
      <c r="J715" s="13" t="s">
        <v>973</v>
      </c>
      <c r="K715" s="13"/>
      <c r="L715" s="17"/>
      <c r="M715" s="13" t="s">
        <v>416</v>
      </c>
      <c r="N715" s="17"/>
      <c r="O715" s="13" t="s">
        <v>417</v>
      </c>
      <c r="P715" s="13">
        <v>1</v>
      </c>
    </row>
    <row r="716" spans="1:16">
      <c r="A716" s="10">
        <v>713</v>
      </c>
      <c r="B716" s="13" t="s">
        <v>1160</v>
      </c>
      <c r="C716" s="13" t="str">
        <f>"513021196709130964"</f>
        <v>513021196709130964</v>
      </c>
      <c r="D716" s="13" t="str">
        <f t="shared" si="57"/>
        <v>513021********0964</v>
      </c>
      <c r="E716" s="13" t="str">
        <f t="shared" si="55"/>
        <v>女</v>
      </c>
      <c r="F716" s="17">
        <f ca="1" t="shared" si="56"/>
        <v>57</v>
      </c>
      <c r="G716" s="13" t="s">
        <v>20</v>
      </c>
      <c r="H716" s="18">
        <v>220</v>
      </c>
      <c r="I716" s="13" t="s">
        <v>21</v>
      </c>
      <c r="J716" s="13" t="s">
        <v>973</v>
      </c>
      <c r="K716" s="13"/>
      <c r="L716" s="17"/>
      <c r="M716" s="13" t="s">
        <v>416</v>
      </c>
      <c r="N716" s="17" t="s">
        <v>34</v>
      </c>
      <c r="O716" s="13"/>
      <c r="P716" s="13">
        <v>4</v>
      </c>
    </row>
    <row r="717" ht="15.6" spans="1:16">
      <c r="A717" s="10">
        <v>714</v>
      </c>
      <c r="B717" s="34" t="s">
        <v>1161</v>
      </c>
      <c r="C717" s="34" t="s">
        <v>1162</v>
      </c>
      <c r="D717" s="13" t="str">
        <f t="shared" si="57"/>
        <v>513021********0975</v>
      </c>
      <c r="E717" s="13" t="str">
        <f t="shared" si="55"/>
        <v>男</v>
      </c>
      <c r="F717" s="17">
        <f ca="1" t="shared" si="56"/>
        <v>59</v>
      </c>
      <c r="G717" s="13" t="s">
        <v>37</v>
      </c>
      <c r="H717" s="20"/>
      <c r="I717" s="13" t="s">
        <v>21</v>
      </c>
      <c r="J717" s="13" t="s">
        <v>973</v>
      </c>
      <c r="K717" s="13"/>
      <c r="L717" s="17"/>
      <c r="M717" s="13" t="s">
        <v>416</v>
      </c>
      <c r="N717" s="17" t="s">
        <v>34</v>
      </c>
      <c r="O717" s="13"/>
      <c r="P717" s="13"/>
    </row>
    <row r="718" ht="15.6" spans="1:16">
      <c r="A718" s="10">
        <v>715</v>
      </c>
      <c r="B718" s="34" t="s">
        <v>1163</v>
      </c>
      <c r="C718" s="34" t="s">
        <v>1164</v>
      </c>
      <c r="D718" s="13" t="str">
        <f t="shared" si="57"/>
        <v>513021********0977</v>
      </c>
      <c r="E718" s="13" t="str">
        <f t="shared" si="55"/>
        <v>男</v>
      </c>
      <c r="F718" s="17">
        <f ca="1" t="shared" si="56"/>
        <v>38</v>
      </c>
      <c r="G718" s="13" t="s">
        <v>434</v>
      </c>
      <c r="H718" s="20"/>
      <c r="I718" s="13" t="s">
        <v>21</v>
      </c>
      <c r="J718" s="13" t="s">
        <v>973</v>
      </c>
      <c r="K718" s="13"/>
      <c r="L718" s="17"/>
      <c r="M718" s="13" t="s">
        <v>416</v>
      </c>
      <c r="N718" s="17" t="s">
        <v>34</v>
      </c>
      <c r="O718" s="13"/>
      <c r="P718" s="13"/>
    </row>
    <row r="719" ht="15.6" spans="1:16">
      <c r="A719" s="10">
        <v>716</v>
      </c>
      <c r="B719" s="34" t="s">
        <v>1165</v>
      </c>
      <c r="C719" s="34" t="s">
        <v>1166</v>
      </c>
      <c r="D719" s="13" t="str">
        <f t="shared" si="57"/>
        <v>511721********5725</v>
      </c>
      <c r="E719" s="13" t="str">
        <f t="shared" si="55"/>
        <v>女</v>
      </c>
      <c r="F719" s="17">
        <f ca="1" t="shared" si="56"/>
        <v>13</v>
      </c>
      <c r="G719" s="13" t="s">
        <v>563</v>
      </c>
      <c r="H719" s="20"/>
      <c r="I719" s="13" t="s">
        <v>21</v>
      </c>
      <c r="J719" s="13" t="s">
        <v>973</v>
      </c>
      <c r="K719" s="13"/>
      <c r="L719" s="17"/>
      <c r="M719" s="13" t="s">
        <v>416</v>
      </c>
      <c r="N719" s="17" t="s">
        <v>34</v>
      </c>
      <c r="O719" s="13"/>
      <c r="P719" s="13"/>
    </row>
    <row r="720" spans="1:16">
      <c r="A720" s="10">
        <v>717</v>
      </c>
      <c r="B720" s="13" t="s">
        <v>1167</v>
      </c>
      <c r="C720" s="13" t="str">
        <f>"513021196809080968"</f>
        <v>513021196809080968</v>
      </c>
      <c r="D720" s="13" t="str">
        <f t="shared" si="57"/>
        <v>513021********0968</v>
      </c>
      <c r="E720" s="13" t="str">
        <f t="shared" si="55"/>
        <v>女</v>
      </c>
      <c r="F720" s="17">
        <f ca="1" t="shared" si="56"/>
        <v>56</v>
      </c>
      <c r="G720" s="13" t="s">
        <v>20</v>
      </c>
      <c r="H720" s="18">
        <v>140</v>
      </c>
      <c r="I720" s="13" t="s">
        <v>21</v>
      </c>
      <c r="J720" s="13" t="s">
        <v>973</v>
      </c>
      <c r="K720" s="13"/>
      <c r="L720" s="17"/>
      <c r="M720" s="13" t="s">
        <v>416</v>
      </c>
      <c r="N720" s="17" t="s">
        <v>34</v>
      </c>
      <c r="O720" s="13"/>
      <c r="P720" s="13">
        <v>2</v>
      </c>
    </row>
    <row r="721" ht="15.6" spans="1:16">
      <c r="A721" s="10">
        <v>718</v>
      </c>
      <c r="B721" s="34" t="s">
        <v>1168</v>
      </c>
      <c r="C721" s="34" t="s">
        <v>1169</v>
      </c>
      <c r="D721" s="13" t="str">
        <f t="shared" si="57"/>
        <v>513021********0975</v>
      </c>
      <c r="E721" s="13" t="str">
        <f t="shared" si="55"/>
        <v>男</v>
      </c>
      <c r="F721" s="17">
        <f ca="1" t="shared" si="56"/>
        <v>57</v>
      </c>
      <c r="G721" s="13" t="s">
        <v>37</v>
      </c>
      <c r="H721" s="20"/>
      <c r="I721" s="13" t="s">
        <v>21</v>
      </c>
      <c r="J721" s="13" t="s">
        <v>973</v>
      </c>
      <c r="K721" s="13"/>
      <c r="L721" s="17"/>
      <c r="M721" s="13" t="s">
        <v>416</v>
      </c>
      <c r="N721" s="17" t="s">
        <v>34</v>
      </c>
      <c r="O721" s="13"/>
      <c r="P721" s="13"/>
    </row>
    <row r="722" spans="1:16">
      <c r="A722" s="10">
        <v>719</v>
      </c>
      <c r="B722" s="13" t="s">
        <v>1170</v>
      </c>
      <c r="C722" s="13" t="str">
        <f>"513021194904190963"</f>
        <v>513021194904190963</v>
      </c>
      <c r="D722" s="13" t="str">
        <f t="shared" si="57"/>
        <v>513021********0963</v>
      </c>
      <c r="E722" s="13" t="str">
        <f t="shared" si="55"/>
        <v>女</v>
      </c>
      <c r="F722" s="17">
        <f ca="1" t="shared" si="56"/>
        <v>75</v>
      </c>
      <c r="G722" s="13" t="s">
        <v>20</v>
      </c>
      <c r="H722" s="18">
        <v>220</v>
      </c>
      <c r="I722" s="13" t="s">
        <v>21</v>
      </c>
      <c r="J722" s="13" t="s">
        <v>973</v>
      </c>
      <c r="K722" s="13"/>
      <c r="L722" s="17"/>
      <c r="M722" s="13" t="s">
        <v>416</v>
      </c>
      <c r="N722" s="17" t="s">
        <v>34</v>
      </c>
      <c r="O722" s="13"/>
      <c r="P722" s="13">
        <v>2</v>
      </c>
    </row>
    <row r="723" ht="15.6" spans="1:16">
      <c r="A723" s="10">
        <v>720</v>
      </c>
      <c r="B723" s="34" t="s">
        <v>1171</v>
      </c>
      <c r="C723" s="34" t="s">
        <v>1172</v>
      </c>
      <c r="D723" s="13" t="str">
        <f t="shared" si="57"/>
        <v>513021********0973</v>
      </c>
      <c r="E723" s="13" t="str">
        <f t="shared" ref="E723:E759" si="58">IF(MOD(MID(C723,17,1),2)=1,"男","女")</f>
        <v>男</v>
      </c>
      <c r="F723" s="17">
        <f ca="1" t="shared" ref="F723:F759" si="59">YEAR(TODAY())-MID(C723,7,4)</f>
        <v>32</v>
      </c>
      <c r="G723" s="13" t="s">
        <v>563</v>
      </c>
      <c r="H723" s="20"/>
      <c r="I723" s="13" t="s">
        <v>21</v>
      </c>
      <c r="J723" s="13" t="s">
        <v>973</v>
      </c>
      <c r="K723" s="13"/>
      <c r="L723" s="17"/>
      <c r="M723" s="13" t="s">
        <v>416</v>
      </c>
      <c r="N723" s="17" t="s">
        <v>34</v>
      </c>
      <c r="O723" s="13"/>
      <c r="P723" s="13"/>
    </row>
    <row r="724" spans="1:16">
      <c r="A724" s="10">
        <v>721</v>
      </c>
      <c r="B724" s="13" t="s">
        <v>1173</v>
      </c>
      <c r="C724" s="13" t="str">
        <f>"513021193810310966"</f>
        <v>513021193810310966</v>
      </c>
      <c r="D724" s="13" t="str">
        <f t="shared" si="57"/>
        <v>513021********0966</v>
      </c>
      <c r="E724" s="13" t="str">
        <f t="shared" si="58"/>
        <v>女</v>
      </c>
      <c r="F724" s="17">
        <f ca="1" t="shared" si="59"/>
        <v>86</v>
      </c>
      <c r="G724" s="13" t="s">
        <v>20</v>
      </c>
      <c r="H724" s="18">
        <v>240</v>
      </c>
      <c r="I724" s="13" t="s">
        <v>21</v>
      </c>
      <c r="J724" s="13" t="s">
        <v>973</v>
      </c>
      <c r="K724" s="13"/>
      <c r="L724" s="17"/>
      <c r="M724" s="13" t="s">
        <v>416</v>
      </c>
      <c r="N724" s="17"/>
      <c r="O724" s="13" t="s">
        <v>417</v>
      </c>
      <c r="P724" s="13">
        <v>1</v>
      </c>
    </row>
    <row r="725" spans="1:16">
      <c r="A725" s="10">
        <v>722</v>
      </c>
      <c r="B725" s="13" t="s">
        <v>667</v>
      </c>
      <c r="C725" s="13" t="str">
        <f>"513021194107120962"</f>
        <v>513021194107120962</v>
      </c>
      <c r="D725" s="13" t="str">
        <f t="shared" si="57"/>
        <v>513021********0962</v>
      </c>
      <c r="E725" s="13" t="str">
        <f t="shared" si="58"/>
        <v>女</v>
      </c>
      <c r="F725" s="17">
        <f ca="1" t="shared" si="59"/>
        <v>83</v>
      </c>
      <c r="G725" s="13" t="s">
        <v>20</v>
      </c>
      <c r="H725" s="18">
        <v>220</v>
      </c>
      <c r="I725" s="13" t="s">
        <v>21</v>
      </c>
      <c r="J725" s="13" t="s">
        <v>973</v>
      </c>
      <c r="K725" s="13"/>
      <c r="L725" s="17"/>
      <c r="M725" s="13" t="s">
        <v>416</v>
      </c>
      <c r="N725" s="17" t="s">
        <v>34</v>
      </c>
      <c r="O725" s="13"/>
      <c r="P725" s="13">
        <v>2</v>
      </c>
    </row>
    <row r="726" ht="15.6" spans="1:16">
      <c r="A726" s="10">
        <v>723</v>
      </c>
      <c r="B726" s="34" t="s">
        <v>1174</v>
      </c>
      <c r="C726" s="34" t="s">
        <v>1175</v>
      </c>
      <c r="D726" s="13" t="str">
        <f t="shared" si="57"/>
        <v>513021********097X</v>
      </c>
      <c r="E726" s="13" t="str">
        <f t="shared" si="58"/>
        <v>男</v>
      </c>
      <c r="F726" s="17">
        <f ca="1" t="shared" si="59"/>
        <v>49</v>
      </c>
      <c r="G726" s="13" t="s">
        <v>434</v>
      </c>
      <c r="H726" s="20"/>
      <c r="I726" s="13" t="s">
        <v>21</v>
      </c>
      <c r="J726" s="13" t="s">
        <v>973</v>
      </c>
      <c r="K726" s="13"/>
      <c r="L726" s="17"/>
      <c r="M726" s="13" t="s">
        <v>416</v>
      </c>
      <c r="N726" s="17" t="s">
        <v>34</v>
      </c>
      <c r="O726" s="13"/>
      <c r="P726" s="13"/>
    </row>
    <row r="727" spans="1:16">
      <c r="A727" s="10">
        <v>724</v>
      </c>
      <c r="B727" s="13" t="s">
        <v>1176</v>
      </c>
      <c r="C727" s="13" t="str">
        <f>"513021194205120966"</f>
        <v>513021194205120966</v>
      </c>
      <c r="D727" s="13" t="str">
        <f t="shared" si="57"/>
        <v>513021********0966</v>
      </c>
      <c r="E727" s="13" t="str">
        <f t="shared" si="58"/>
        <v>女</v>
      </c>
      <c r="F727" s="17">
        <f ca="1" t="shared" si="59"/>
        <v>82</v>
      </c>
      <c r="G727" s="13" t="s">
        <v>20</v>
      </c>
      <c r="H727" s="18">
        <v>220</v>
      </c>
      <c r="I727" s="13" t="s">
        <v>21</v>
      </c>
      <c r="J727" s="13" t="s">
        <v>973</v>
      </c>
      <c r="K727" s="13"/>
      <c r="L727" s="17"/>
      <c r="M727" s="13" t="s">
        <v>416</v>
      </c>
      <c r="N727" s="17" t="s">
        <v>34</v>
      </c>
      <c r="O727" s="13"/>
      <c r="P727" s="13">
        <v>2</v>
      </c>
    </row>
    <row r="728" ht="15.6" spans="1:16">
      <c r="A728" s="10">
        <v>725</v>
      </c>
      <c r="B728" s="34" t="s">
        <v>1177</v>
      </c>
      <c r="C728" s="34" t="s">
        <v>1178</v>
      </c>
      <c r="D728" s="13" t="str">
        <f t="shared" si="57"/>
        <v>513021********0972</v>
      </c>
      <c r="E728" s="13" t="str">
        <f t="shared" si="58"/>
        <v>男</v>
      </c>
      <c r="F728" s="17">
        <f ca="1" t="shared" si="59"/>
        <v>82</v>
      </c>
      <c r="G728" s="13" t="s">
        <v>37</v>
      </c>
      <c r="H728" s="20"/>
      <c r="I728" s="13" t="s">
        <v>21</v>
      </c>
      <c r="J728" s="13" t="s">
        <v>973</v>
      </c>
      <c r="K728" s="13"/>
      <c r="L728" s="17" t="str">
        <f>VLOOKUP(C728,[1]Sheet1!$B$2:$U$630,20,0)</f>
        <v>肢体四级;</v>
      </c>
      <c r="M728" s="13" t="s">
        <v>416</v>
      </c>
      <c r="N728" s="17" t="s">
        <v>34</v>
      </c>
      <c r="O728" s="13"/>
      <c r="P728" s="13"/>
    </row>
    <row r="729" spans="1:16">
      <c r="A729" s="10">
        <v>726</v>
      </c>
      <c r="B729" s="13" t="s">
        <v>1179</v>
      </c>
      <c r="C729" s="13" t="str">
        <f>"513021194503060973"</f>
        <v>513021194503060973</v>
      </c>
      <c r="D729" s="13" t="str">
        <f t="shared" si="57"/>
        <v>513021********0973</v>
      </c>
      <c r="E729" s="13" t="str">
        <f t="shared" si="58"/>
        <v>男</v>
      </c>
      <c r="F729" s="17">
        <f ca="1" t="shared" si="59"/>
        <v>79</v>
      </c>
      <c r="G729" s="13" t="s">
        <v>20</v>
      </c>
      <c r="H729" s="18">
        <v>240</v>
      </c>
      <c r="I729" s="13" t="s">
        <v>21</v>
      </c>
      <c r="J729" s="13" t="s">
        <v>973</v>
      </c>
      <c r="K729" s="13"/>
      <c r="L729" s="17"/>
      <c r="M729" s="13" t="s">
        <v>416</v>
      </c>
      <c r="N729" s="17"/>
      <c r="O729" s="13" t="s">
        <v>417</v>
      </c>
      <c r="P729" s="13">
        <v>1</v>
      </c>
    </row>
    <row r="730" spans="1:16">
      <c r="A730" s="10">
        <v>727</v>
      </c>
      <c r="B730" s="13" t="s">
        <v>1180</v>
      </c>
      <c r="C730" s="13" t="str">
        <f>"513021194211020961"</f>
        <v>513021194211020961</v>
      </c>
      <c r="D730" s="13" t="str">
        <f t="shared" si="57"/>
        <v>513021********0961</v>
      </c>
      <c r="E730" s="13" t="str">
        <f t="shared" si="58"/>
        <v>女</v>
      </c>
      <c r="F730" s="17">
        <f ca="1" t="shared" si="59"/>
        <v>82</v>
      </c>
      <c r="G730" s="13" t="s">
        <v>20</v>
      </c>
      <c r="H730" s="18">
        <v>240</v>
      </c>
      <c r="I730" s="13" t="s">
        <v>21</v>
      </c>
      <c r="J730" s="13" t="s">
        <v>973</v>
      </c>
      <c r="K730" s="13"/>
      <c r="L730" s="17"/>
      <c r="M730" s="13" t="s">
        <v>416</v>
      </c>
      <c r="N730" s="17"/>
      <c r="O730" s="13" t="s">
        <v>417</v>
      </c>
      <c r="P730" s="13">
        <v>1</v>
      </c>
    </row>
    <row r="731" spans="1:16">
      <c r="A731" s="10">
        <v>728</v>
      </c>
      <c r="B731" s="13" t="s">
        <v>1181</v>
      </c>
      <c r="C731" s="13" t="str">
        <f>"513021195612120976"</f>
        <v>513021195612120976</v>
      </c>
      <c r="D731" s="13" t="str">
        <f t="shared" si="57"/>
        <v>513021********0976</v>
      </c>
      <c r="E731" s="13" t="str">
        <f t="shared" si="58"/>
        <v>男</v>
      </c>
      <c r="F731" s="17">
        <f ca="1" t="shared" si="59"/>
        <v>68</v>
      </c>
      <c r="G731" s="13" t="s">
        <v>20</v>
      </c>
      <c r="H731" s="18">
        <v>220</v>
      </c>
      <c r="I731" s="13" t="s">
        <v>21</v>
      </c>
      <c r="J731" s="13" t="s">
        <v>973</v>
      </c>
      <c r="K731" s="13"/>
      <c r="L731" s="17" t="str">
        <f>VLOOKUP(C731,[1]Sheet1!$B$2:$U$630,20,0)</f>
        <v>肢体四级;</v>
      </c>
      <c r="M731" s="13" t="s">
        <v>416</v>
      </c>
      <c r="N731" s="17" t="s">
        <v>34</v>
      </c>
      <c r="O731" s="13"/>
      <c r="P731" s="13">
        <v>2</v>
      </c>
    </row>
    <row r="732" ht="15.6" spans="1:16">
      <c r="A732" s="10">
        <v>729</v>
      </c>
      <c r="B732" s="34" t="s">
        <v>1182</v>
      </c>
      <c r="C732" s="34" t="s">
        <v>1183</v>
      </c>
      <c r="D732" s="13" t="str">
        <f t="shared" si="57"/>
        <v>513021********0962</v>
      </c>
      <c r="E732" s="13" t="str">
        <f t="shared" si="58"/>
        <v>女</v>
      </c>
      <c r="F732" s="17">
        <f ca="1" t="shared" si="59"/>
        <v>66</v>
      </c>
      <c r="G732" s="13" t="s">
        <v>37</v>
      </c>
      <c r="H732" s="20"/>
      <c r="I732" s="13" t="s">
        <v>21</v>
      </c>
      <c r="J732" s="13" t="s">
        <v>973</v>
      </c>
      <c r="K732" s="13"/>
      <c r="L732" s="17"/>
      <c r="M732" s="13" t="s">
        <v>416</v>
      </c>
      <c r="N732" s="17" t="s">
        <v>34</v>
      </c>
      <c r="O732" s="13"/>
      <c r="P732" s="13"/>
    </row>
    <row r="733" spans="1:16">
      <c r="A733" s="10">
        <v>730</v>
      </c>
      <c r="B733" s="13" t="s">
        <v>1184</v>
      </c>
      <c r="C733" s="13" t="str">
        <f>"513021194208090870"</f>
        <v>513021194208090870</v>
      </c>
      <c r="D733" s="13" t="str">
        <f t="shared" si="57"/>
        <v>513021********0870</v>
      </c>
      <c r="E733" s="13" t="str">
        <f t="shared" si="58"/>
        <v>男</v>
      </c>
      <c r="F733" s="17">
        <f ca="1" t="shared" si="59"/>
        <v>82</v>
      </c>
      <c r="G733" s="13" t="s">
        <v>20</v>
      </c>
      <c r="H733" s="18">
        <v>240</v>
      </c>
      <c r="I733" s="13" t="s">
        <v>21</v>
      </c>
      <c r="J733" s="13" t="s">
        <v>973</v>
      </c>
      <c r="K733" s="13"/>
      <c r="L733" s="17"/>
      <c r="M733" s="13" t="s">
        <v>416</v>
      </c>
      <c r="N733" s="17"/>
      <c r="O733" s="13" t="s">
        <v>417</v>
      </c>
      <c r="P733" s="13">
        <v>1</v>
      </c>
    </row>
    <row r="734" spans="1:16">
      <c r="A734" s="10">
        <v>731</v>
      </c>
      <c r="B734" s="13" t="s">
        <v>1185</v>
      </c>
      <c r="C734" s="13" t="str">
        <f>"513021194803230970"</f>
        <v>513021194803230970</v>
      </c>
      <c r="D734" s="13" t="str">
        <f t="shared" si="57"/>
        <v>513021********0970</v>
      </c>
      <c r="E734" s="13" t="str">
        <f t="shared" si="58"/>
        <v>男</v>
      </c>
      <c r="F734" s="17">
        <f ca="1" t="shared" si="59"/>
        <v>76</v>
      </c>
      <c r="G734" s="13" t="s">
        <v>20</v>
      </c>
      <c r="H734" s="18">
        <v>240</v>
      </c>
      <c r="I734" s="13" t="s">
        <v>21</v>
      </c>
      <c r="J734" s="13" t="s">
        <v>973</v>
      </c>
      <c r="K734" s="13"/>
      <c r="L734" s="17" t="str">
        <f>VLOOKUP(C734,[1]Sheet1!$B$2:$U$630,20,0)</f>
        <v>肢体四级;</v>
      </c>
      <c r="M734" s="13" t="s">
        <v>416</v>
      </c>
      <c r="N734" s="17"/>
      <c r="O734" s="13" t="s">
        <v>417</v>
      </c>
      <c r="P734" s="13">
        <v>1</v>
      </c>
    </row>
    <row r="735" spans="1:16">
      <c r="A735" s="10">
        <v>732</v>
      </c>
      <c r="B735" s="13" t="s">
        <v>593</v>
      </c>
      <c r="C735" s="13" t="str">
        <f>"513021195512081009"</f>
        <v>513021195512081009</v>
      </c>
      <c r="D735" s="13" t="str">
        <f t="shared" si="57"/>
        <v>513021********1009</v>
      </c>
      <c r="E735" s="13" t="str">
        <f t="shared" si="58"/>
        <v>女</v>
      </c>
      <c r="F735" s="17">
        <f ca="1" t="shared" si="59"/>
        <v>69</v>
      </c>
      <c r="G735" s="13" t="s">
        <v>20</v>
      </c>
      <c r="H735" s="18">
        <v>240</v>
      </c>
      <c r="I735" s="13" t="s">
        <v>21</v>
      </c>
      <c r="J735" s="13" t="s">
        <v>973</v>
      </c>
      <c r="K735" s="13"/>
      <c r="L735" s="17"/>
      <c r="M735" s="13" t="s">
        <v>416</v>
      </c>
      <c r="N735" s="17"/>
      <c r="O735" s="13" t="s">
        <v>417</v>
      </c>
      <c r="P735" s="13">
        <v>1</v>
      </c>
    </row>
    <row r="736" spans="1:16">
      <c r="A736" s="10">
        <v>733</v>
      </c>
      <c r="B736" s="13" t="s">
        <v>1186</v>
      </c>
      <c r="C736" s="13" t="str">
        <f>"513021194002250963"</f>
        <v>513021194002250963</v>
      </c>
      <c r="D736" s="13" t="str">
        <f t="shared" si="57"/>
        <v>513021********0963</v>
      </c>
      <c r="E736" s="13" t="str">
        <f t="shared" si="58"/>
        <v>女</v>
      </c>
      <c r="F736" s="17">
        <f ca="1" t="shared" si="59"/>
        <v>84</v>
      </c>
      <c r="G736" s="13" t="s">
        <v>20</v>
      </c>
      <c r="H736" s="18">
        <v>240</v>
      </c>
      <c r="I736" s="13" t="s">
        <v>21</v>
      </c>
      <c r="J736" s="13" t="s">
        <v>973</v>
      </c>
      <c r="K736" s="13"/>
      <c r="L736" s="17" t="str">
        <f>VLOOKUP(C736,[1]Sheet1!$B$2:$U$630,20,0)</f>
        <v>视力四级;</v>
      </c>
      <c r="M736" s="13" t="s">
        <v>416</v>
      </c>
      <c r="N736" s="17"/>
      <c r="O736" s="13" t="s">
        <v>417</v>
      </c>
      <c r="P736" s="13">
        <v>1</v>
      </c>
    </row>
    <row r="737" spans="1:16">
      <c r="A737" s="10">
        <v>734</v>
      </c>
      <c r="B737" s="13" t="s">
        <v>1187</v>
      </c>
      <c r="C737" s="13" t="str">
        <f>"513021195408130974"</f>
        <v>513021195408130974</v>
      </c>
      <c r="D737" s="13" t="str">
        <f t="shared" si="57"/>
        <v>513021********0974</v>
      </c>
      <c r="E737" s="13" t="str">
        <f t="shared" si="58"/>
        <v>男</v>
      </c>
      <c r="F737" s="17">
        <f ca="1" t="shared" si="59"/>
        <v>70</v>
      </c>
      <c r="G737" s="13" t="s">
        <v>20</v>
      </c>
      <c r="H737" s="18">
        <v>240</v>
      </c>
      <c r="I737" s="13" t="s">
        <v>21</v>
      </c>
      <c r="J737" s="13" t="s">
        <v>973</v>
      </c>
      <c r="K737" s="13"/>
      <c r="L737" s="17"/>
      <c r="M737" s="36" t="s">
        <v>278</v>
      </c>
      <c r="N737" s="17"/>
      <c r="O737" s="13" t="s">
        <v>417</v>
      </c>
      <c r="P737" s="13">
        <v>1</v>
      </c>
    </row>
    <row r="738" spans="1:16">
      <c r="A738" s="10">
        <v>735</v>
      </c>
      <c r="B738" s="13" t="s">
        <v>1188</v>
      </c>
      <c r="C738" s="13" t="str">
        <f>"513021195801150963"</f>
        <v>513021195801150963</v>
      </c>
      <c r="D738" s="13" t="str">
        <f t="shared" si="57"/>
        <v>513021********0963</v>
      </c>
      <c r="E738" s="13" t="str">
        <f t="shared" si="58"/>
        <v>女</v>
      </c>
      <c r="F738" s="17">
        <f ca="1" t="shared" si="59"/>
        <v>66</v>
      </c>
      <c r="G738" s="13" t="s">
        <v>20</v>
      </c>
      <c r="H738" s="18">
        <v>240</v>
      </c>
      <c r="I738" s="13" t="s">
        <v>21</v>
      </c>
      <c r="J738" s="13" t="s">
        <v>973</v>
      </c>
      <c r="K738" s="13"/>
      <c r="L738" s="17"/>
      <c r="M738" s="13" t="s">
        <v>416</v>
      </c>
      <c r="N738" s="17"/>
      <c r="O738" s="13" t="s">
        <v>417</v>
      </c>
      <c r="P738" s="13">
        <v>1</v>
      </c>
    </row>
    <row r="739" spans="1:16">
      <c r="A739" s="10">
        <v>736</v>
      </c>
      <c r="B739" s="13" t="s">
        <v>1189</v>
      </c>
      <c r="C739" s="13" t="str">
        <f>"513021195806210961"</f>
        <v>513021195806210961</v>
      </c>
      <c r="D739" s="13" t="str">
        <f t="shared" si="57"/>
        <v>513021********0961</v>
      </c>
      <c r="E739" s="13" t="str">
        <f t="shared" si="58"/>
        <v>女</v>
      </c>
      <c r="F739" s="17">
        <f ca="1" t="shared" si="59"/>
        <v>66</v>
      </c>
      <c r="G739" s="13" t="s">
        <v>20</v>
      </c>
      <c r="H739" s="18">
        <v>240</v>
      </c>
      <c r="I739" s="13" t="s">
        <v>21</v>
      </c>
      <c r="J739" s="13" t="s">
        <v>973</v>
      </c>
      <c r="K739" s="13"/>
      <c r="L739" s="17"/>
      <c r="M739" s="13" t="s">
        <v>416</v>
      </c>
      <c r="N739" s="17"/>
      <c r="O739" s="13" t="s">
        <v>417</v>
      </c>
      <c r="P739" s="13">
        <v>1</v>
      </c>
    </row>
    <row r="740" spans="1:16">
      <c r="A740" s="10">
        <v>737</v>
      </c>
      <c r="B740" s="13" t="s">
        <v>1190</v>
      </c>
      <c r="C740" s="13" t="str">
        <f>"513021195711210969"</f>
        <v>513021195711210969</v>
      </c>
      <c r="D740" s="13" t="str">
        <f t="shared" si="57"/>
        <v>513021********0969</v>
      </c>
      <c r="E740" s="13" t="str">
        <f t="shared" si="58"/>
        <v>女</v>
      </c>
      <c r="F740" s="17">
        <f ca="1" t="shared" si="59"/>
        <v>67</v>
      </c>
      <c r="G740" s="13" t="s">
        <v>20</v>
      </c>
      <c r="H740" s="18">
        <v>220</v>
      </c>
      <c r="I740" s="13" t="s">
        <v>21</v>
      </c>
      <c r="J740" s="13" t="s">
        <v>973</v>
      </c>
      <c r="K740" s="13"/>
      <c r="L740" s="17"/>
      <c r="M740" s="13" t="s">
        <v>416</v>
      </c>
      <c r="N740" s="17" t="s">
        <v>34</v>
      </c>
      <c r="O740" s="13"/>
      <c r="P740" s="13">
        <v>4</v>
      </c>
    </row>
    <row r="741" ht="15.6" spans="1:16">
      <c r="A741" s="10">
        <v>738</v>
      </c>
      <c r="B741" s="34" t="s">
        <v>1191</v>
      </c>
      <c r="C741" s="34" t="s">
        <v>1192</v>
      </c>
      <c r="D741" s="13" t="str">
        <f t="shared" si="57"/>
        <v>513021********109X</v>
      </c>
      <c r="E741" s="13" t="str">
        <f t="shared" si="58"/>
        <v>男</v>
      </c>
      <c r="F741" s="17">
        <f ca="1" t="shared" si="59"/>
        <v>66</v>
      </c>
      <c r="G741" s="13" t="s">
        <v>37</v>
      </c>
      <c r="H741" s="20"/>
      <c r="I741" s="13" t="s">
        <v>21</v>
      </c>
      <c r="J741" s="13" t="s">
        <v>973</v>
      </c>
      <c r="K741" s="13"/>
      <c r="L741" s="17"/>
      <c r="M741" s="13" t="s">
        <v>416</v>
      </c>
      <c r="N741" s="17" t="s">
        <v>34</v>
      </c>
      <c r="O741" s="13"/>
      <c r="P741" s="13"/>
    </row>
    <row r="742" ht="15.6" spans="1:16">
      <c r="A742" s="10">
        <v>739</v>
      </c>
      <c r="B742" s="34" t="s">
        <v>1193</v>
      </c>
      <c r="C742" s="34" t="s">
        <v>1194</v>
      </c>
      <c r="D742" s="13" t="str">
        <f t="shared" si="57"/>
        <v>513021********0976</v>
      </c>
      <c r="E742" s="13" t="str">
        <f t="shared" si="58"/>
        <v>男</v>
      </c>
      <c r="F742" s="17">
        <f ca="1" t="shared" si="59"/>
        <v>38</v>
      </c>
      <c r="G742" s="13" t="s">
        <v>434</v>
      </c>
      <c r="H742" s="20"/>
      <c r="I742" s="13" t="s">
        <v>21</v>
      </c>
      <c r="J742" s="13" t="s">
        <v>973</v>
      </c>
      <c r="K742" s="13"/>
      <c r="L742" s="17"/>
      <c r="M742" s="13" t="s">
        <v>416</v>
      </c>
      <c r="N742" s="17" t="s">
        <v>34</v>
      </c>
      <c r="O742" s="13"/>
      <c r="P742" s="13"/>
    </row>
    <row r="743" ht="15.6" spans="1:16">
      <c r="A743" s="10">
        <v>740</v>
      </c>
      <c r="B743" s="34" t="s">
        <v>1195</v>
      </c>
      <c r="C743" s="34" t="s">
        <v>1196</v>
      </c>
      <c r="D743" s="13" t="str">
        <f t="shared" si="57"/>
        <v>513021********0964</v>
      </c>
      <c r="E743" s="13" t="str">
        <f t="shared" si="58"/>
        <v>女</v>
      </c>
      <c r="F743" s="17">
        <f ca="1" t="shared" si="59"/>
        <v>42</v>
      </c>
      <c r="G743" s="13" t="s">
        <v>475</v>
      </c>
      <c r="H743" s="20"/>
      <c r="I743" s="13" t="s">
        <v>21</v>
      </c>
      <c r="J743" s="13" t="s">
        <v>973</v>
      </c>
      <c r="K743" s="13"/>
      <c r="L743" s="17"/>
      <c r="M743" s="13" t="s">
        <v>416</v>
      </c>
      <c r="N743" s="17" t="s">
        <v>34</v>
      </c>
      <c r="O743" s="13"/>
      <c r="P743" s="13"/>
    </row>
    <row r="744" spans="1:16">
      <c r="A744" s="10">
        <v>741</v>
      </c>
      <c r="B744" s="13" t="s">
        <v>1197</v>
      </c>
      <c r="C744" s="13" t="str">
        <f>"513021196603110965"</f>
        <v>513021196603110965</v>
      </c>
      <c r="D744" s="13" t="str">
        <f t="shared" si="57"/>
        <v>513021********0965</v>
      </c>
      <c r="E744" s="13" t="str">
        <f t="shared" si="58"/>
        <v>女</v>
      </c>
      <c r="F744" s="17">
        <f ca="1" t="shared" si="59"/>
        <v>58</v>
      </c>
      <c r="G744" s="13" t="s">
        <v>20</v>
      </c>
      <c r="H744" s="18">
        <v>240</v>
      </c>
      <c r="I744" s="13" t="s">
        <v>21</v>
      </c>
      <c r="J744" s="13" t="s">
        <v>973</v>
      </c>
      <c r="K744" s="13"/>
      <c r="L744" s="17" t="str">
        <f>VLOOKUP(C744,[1]Sheet1!$B$2:$U$630,20,0)</f>
        <v>肢体四级;</v>
      </c>
      <c r="M744" s="13" t="s">
        <v>416</v>
      </c>
      <c r="N744" s="17"/>
      <c r="O744" s="13" t="s">
        <v>417</v>
      </c>
      <c r="P744" s="13">
        <v>1</v>
      </c>
    </row>
    <row r="745" spans="1:16">
      <c r="A745" s="10">
        <v>742</v>
      </c>
      <c r="B745" s="13" t="s">
        <v>1198</v>
      </c>
      <c r="C745" s="13" t="str">
        <f>"513021195208110979"</f>
        <v>513021195208110979</v>
      </c>
      <c r="D745" s="13" t="str">
        <f t="shared" si="57"/>
        <v>513021********0979</v>
      </c>
      <c r="E745" s="13" t="str">
        <f t="shared" si="58"/>
        <v>男</v>
      </c>
      <c r="F745" s="17">
        <f ca="1" t="shared" si="59"/>
        <v>72</v>
      </c>
      <c r="G745" s="13" t="s">
        <v>20</v>
      </c>
      <c r="H745" s="18">
        <v>240</v>
      </c>
      <c r="I745" s="13" t="s">
        <v>21</v>
      </c>
      <c r="J745" s="13" t="s">
        <v>973</v>
      </c>
      <c r="K745" s="13"/>
      <c r="L745" s="17"/>
      <c r="M745" s="13" t="s">
        <v>416</v>
      </c>
      <c r="N745" s="17" t="s">
        <v>34</v>
      </c>
      <c r="O745" s="13" t="s">
        <v>417</v>
      </c>
      <c r="P745" s="13">
        <v>1</v>
      </c>
    </row>
    <row r="746" spans="1:16">
      <c r="A746" s="10">
        <v>743</v>
      </c>
      <c r="B746" s="13" t="s">
        <v>1199</v>
      </c>
      <c r="C746" s="13" t="str">
        <f>"513021196202260962"</f>
        <v>513021196202260962</v>
      </c>
      <c r="D746" s="13" t="str">
        <f t="shared" si="57"/>
        <v>513021********0962</v>
      </c>
      <c r="E746" s="13" t="str">
        <f t="shared" si="58"/>
        <v>女</v>
      </c>
      <c r="F746" s="17">
        <f ca="1" t="shared" si="59"/>
        <v>62</v>
      </c>
      <c r="G746" s="13" t="s">
        <v>20</v>
      </c>
      <c r="H746" s="18">
        <v>240</v>
      </c>
      <c r="I746" s="13" t="s">
        <v>21</v>
      </c>
      <c r="J746" s="13" t="s">
        <v>973</v>
      </c>
      <c r="K746" s="13"/>
      <c r="L746" s="17"/>
      <c r="M746" s="13" t="s">
        <v>416</v>
      </c>
      <c r="N746" s="17"/>
      <c r="O746" s="13" t="s">
        <v>417</v>
      </c>
      <c r="P746" s="13">
        <v>1</v>
      </c>
    </row>
    <row r="747" spans="1:16">
      <c r="A747" s="10">
        <v>744</v>
      </c>
      <c r="B747" s="13" t="s">
        <v>1200</v>
      </c>
      <c r="C747" s="13" t="str">
        <f>"513021194609130968"</f>
        <v>513021194609130968</v>
      </c>
      <c r="D747" s="13" t="str">
        <f t="shared" si="57"/>
        <v>513021********0968</v>
      </c>
      <c r="E747" s="13" t="str">
        <f t="shared" si="58"/>
        <v>女</v>
      </c>
      <c r="F747" s="17">
        <f ca="1" t="shared" si="59"/>
        <v>78</v>
      </c>
      <c r="G747" s="13" t="s">
        <v>20</v>
      </c>
      <c r="H747" s="18">
        <v>240</v>
      </c>
      <c r="I747" s="13" t="s">
        <v>21</v>
      </c>
      <c r="J747" s="13" t="s">
        <v>973</v>
      </c>
      <c r="K747" s="13"/>
      <c r="L747" s="17"/>
      <c r="M747" s="13" t="s">
        <v>416</v>
      </c>
      <c r="N747" s="17" t="s">
        <v>34</v>
      </c>
      <c r="O747" s="13" t="s">
        <v>417</v>
      </c>
      <c r="P747" s="13">
        <v>1</v>
      </c>
    </row>
    <row r="748" spans="1:16">
      <c r="A748" s="10">
        <v>745</v>
      </c>
      <c r="B748" s="13" t="s">
        <v>1201</v>
      </c>
      <c r="C748" s="13" t="str">
        <f>"513021198002070979"</f>
        <v>513021198002070979</v>
      </c>
      <c r="D748" s="13" t="str">
        <f t="shared" si="57"/>
        <v>513021********0979</v>
      </c>
      <c r="E748" s="13" t="str">
        <f t="shared" si="58"/>
        <v>男</v>
      </c>
      <c r="F748" s="17">
        <f ca="1" t="shared" si="59"/>
        <v>44</v>
      </c>
      <c r="G748" s="13" t="s">
        <v>20</v>
      </c>
      <c r="H748" s="18">
        <v>240</v>
      </c>
      <c r="I748" s="13" t="s">
        <v>21</v>
      </c>
      <c r="J748" s="13" t="s">
        <v>973</v>
      </c>
      <c r="K748" s="13"/>
      <c r="L748" s="17" t="str">
        <f>VLOOKUP(C748,[1]Sheet1!$B$2:$U$630,20,0)</f>
        <v>智力三级;</v>
      </c>
      <c r="M748" s="13" t="s">
        <v>416</v>
      </c>
      <c r="N748" s="17"/>
      <c r="O748" s="13" t="s">
        <v>417</v>
      </c>
      <c r="P748" s="13">
        <v>1</v>
      </c>
    </row>
    <row r="749" spans="1:16">
      <c r="A749" s="10">
        <v>746</v>
      </c>
      <c r="B749" s="13" t="s">
        <v>1202</v>
      </c>
      <c r="C749" s="13" t="str">
        <f>"513021199310140451"</f>
        <v>513021199310140451</v>
      </c>
      <c r="D749" s="13" t="str">
        <f t="shared" si="57"/>
        <v>513021********0451</v>
      </c>
      <c r="E749" s="13" t="str">
        <f t="shared" si="58"/>
        <v>男</v>
      </c>
      <c r="F749" s="17">
        <f ca="1" t="shared" si="59"/>
        <v>31</v>
      </c>
      <c r="G749" s="13" t="s">
        <v>20</v>
      </c>
      <c r="H749" s="18">
        <v>190</v>
      </c>
      <c r="I749" s="13" t="s">
        <v>21</v>
      </c>
      <c r="J749" s="13" t="s">
        <v>973</v>
      </c>
      <c r="K749" s="13"/>
      <c r="L749" s="17" t="str">
        <f>VLOOKUP(C749,[1]Sheet1!$B$2:$U$630,20,0)</f>
        <v>智力三级;</v>
      </c>
      <c r="M749" s="13" t="s">
        <v>416</v>
      </c>
      <c r="N749" s="17" t="s">
        <v>34</v>
      </c>
      <c r="O749" s="13"/>
      <c r="P749" s="13">
        <v>4</v>
      </c>
    </row>
    <row r="750" ht="15.6" spans="1:16">
      <c r="A750" s="10">
        <v>747</v>
      </c>
      <c r="B750" s="34" t="s">
        <v>1203</v>
      </c>
      <c r="C750" s="34" t="s">
        <v>1204</v>
      </c>
      <c r="D750" s="13" t="str">
        <f t="shared" si="57"/>
        <v>513021********0549</v>
      </c>
      <c r="E750" s="13" t="str">
        <f t="shared" si="58"/>
        <v>女</v>
      </c>
      <c r="F750" s="17">
        <f ca="1" t="shared" si="59"/>
        <v>50</v>
      </c>
      <c r="G750" s="13" t="s">
        <v>434</v>
      </c>
      <c r="H750" s="20"/>
      <c r="I750" s="13" t="s">
        <v>21</v>
      </c>
      <c r="J750" s="13" t="s">
        <v>973</v>
      </c>
      <c r="K750" s="13"/>
      <c r="L750" s="17"/>
      <c r="M750" s="13" t="s">
        <v>416</v>
      </c>
      <c r="N750" s="17" t="s">
        <v>34</v>
      </c>
      <c r="O750" s="13"/>
      <c r="P750" s="13"/>
    </row>
    <row r="751" ht="15.6" spans="1:16">
      <c r="A751" s="10">
        <v>748</v>
      </c>
      <c r="B751" s="34" t="s">
        <v>1205</v>
      </c>
      <c r="C751" s="34" t="s">
        <v>1206</v>
      </c>
      <c r="D751" s="13" t="str">
        <f t="shared" si="57"/>
        <v>513021********0453</v>
      </c>
      <c r="E751" s="13" t="str">
        <f t="shared" si="58"/>
        <v>男</v>
      </c>
      <c r="F751" s="17">
        <f ca="1" t="shared" si="59"/>
        <v>26</v>
      </c>
      <c r="G751" s="13" t="s">
        <v>434</v>
      </c>
      <c r="H751" s="20"/>
      <c r="I751" s="13" t="s">
        <v>21</v>
      </c>
      <c r="J751" s="13" t="s">
        <v>973</v>
      </c>
      <c r="K751" s="13"/>
      <c r="L751" s="17"/>
      <c r="M751" s="13" t="s">
        <v>416</v>
      </c>
      <c r="N751" s="17" t="s">
        <v>34</v>
      </c>
      <c r="O751" s="13"/>
      <c r="P751" s="13"/>
    </row>
    <row r="752" ht="15.6" spans="1:16">
      <c r="A752" s="10">
        <v>749</v>
      </c>
      <c r="B752" s="34" t="s">
        <v>1207</v>
      </c>
      <c r="C752" s="34" t="s">
        <v>1208</v>
      </c>
      <c r="D752" s="13" t="str">
        <f t="shared" si="57"/>
        <v>513021********0458</v>
      </c>
      <c r="E752" s="13" t="str">
        <f t="shared" si="58"/>
        <v>男</v>
      </c>
      <c r="F752" s="17">
        <f ca="1" t="shared" si="59"/>
        <v>53</v>
      </c>
      <c r="G752" s="13" t="s">
        <v>429</v>
      </c>
      <c r="H752" s="20"/>
      <c r="I752" s="13" t="s">
        <v>21</v>
      </c>
      <c r="J752" s="13" t="s">
        <v>973</v>
      </c>
      <c r="K752" s="13"/>
      <c r="L752" s="17"/>
      <c r="M752" s="13" t="s">
        <v>416</v>
      </c>
      <c r="N752" s="17" t="s">
        <v>34</v>
      </c>
      <c r="O752" s="13"/>
      <c r="P752" s="13"/>
    </row>
    <row r="753" spans="1:16">
      <c r="A753" s="10">
        <v>750</v>
      </c>
      <c r="B753" s="13" t="s">
        <v>1209</v>
      </c>
      <c r="C753" s="13" t="str">
        <f>"513021193605160444"</f>
        <v>513021193605160444</v>
      </c>
      <c r="D753" s="13" t="str">
        <f t="shared" si="57"/>
        <v>513021********0444</v>
      </c>
      <c r="E753" s="13" t="str">
        <f t="shared" si="58"/>
        <v>女</v>
      </c>
      <c r="F753" s="17">
        <f ca="1" t="shared" si="59"/>
        <v>88</v>
      </c>
      <c r="G753" s="13" t="s">
        <v>20</v>
      </c>
      <c r="H753" s="18">
        <v>190</v>
      </c>
      <c r="I753" s="13" t="s">
        <v>21</v>
      </c>
      <c r="J753" s="13" t="s">
        <v>973</v>
      </c>
      <c r="K753" s="13"/>
      <c r="L753" s="17"/>
      <c r="M753" s="13" t="s">
        <v>416</v>
      </c>
      <c r="N753" s="17"/>
      <c r="O753" s="13" t="s">
        <v>417</v>
      </c>
      <c r="P753" s="13">
        <v>1</v>
      </c>
    </row>
    <row r="754" spans="1:16">
      <c r="A754" s="10">
        <v>751</v>
      </c>
      <c r="B754" s="13" t="s">
        <v>1210</v>
      </c>
      <c r="C754" s="13" t="str">
        <f>"513021195509230448"</f>
        <v>513021195509230448</v>
      </c>
      <c r="D754" s="13" t="str">
        <f t="shared" si="57"/>
        <v>513021********0448</v>
      </c>
      <c r="E754" s="13" t="str">
        <f t="shared" si="58"/>
        <v>女</v>
      </c>
      <c r="F754" s="17">
        <f ca="1" t="shared" si="59"/>
        <v>69</v>
      </c>
      <c r="G754" s="13" t="s">
        <v>20</v>
      </c>
      <c r="H754" s="18">
        <v>190</v>
      </c>
      <c r="I754" s="13" t="s">
        <v>21</v>
      </c>
      <c r="J754" s="13" t="s">
        <v>973</v>
      </c>
      <c r="K754" s="13"/>
      <c r="L754" s="17"/>
      <c r="M754" s="13" t="s">
        <v>416</v>
      </c>
      <c r="N754" s="17"/>
      <c r="O754" s="13" t="s">
        <v>417</v>
      </c>
      <c r="P754" s="13">
        <v>1</v>
      </c>
    </row>
    <row r="755" spans="1:16">
      <c r="A755" s="10">
        <v>752</v>
      </c>
      <c r="B755" s="13" t="s">
        <v>1211</v>
      </c>
      <c r="C755" s="13" t="str">
        <f>"513021193312120449"</f>
        <v>513021193312120449</v>
      </c>
      <c r="D755" s="13" t="str">
        <f t="shared" si="57"/>
        <v>513021********0449</v>
      </c>
      <c r="E755" s="13" t="str">
        <f t="shared" si="58"/>
        <v>女</v>
      </c>
      <c r="F755" s="17">
        <f ca="1" t="shared" si="59"/>
        <v>91</v>
      </c>
      <c r="G755" s="13" t="s">
        <v>20</v>
      </c>
      <c r="H755" s="18">
        <v>190</v>
      </c>
      <c r="I755" s="13" t="s">
        <v>21</v>
      </c>
      <c r="J755" s="13" t="s">
        <v>973</v>
      </c>
      <c r="K755" s="13"/>
      <c r="L755" s="17"/>
      <c r="M755" s="13" t="s">
        <v>416</v>
      </c>
      <c r="N755" s="17" t="s">
        <v>34</v>
      </c>
      <c r="O755" s="13"/>
      <c r="P755" s="13">
        <v>4</v>
      </c>
    </row>
    <row r="756" ht="15.6" spans="1:16">
      <c r="A756" s="10">
        <v>753</v>
      </c>
      <c r="B756" s="34" t="s">
        <v>1212</v>
      </c>
      <c r="C756" s="34" t="s">
        <v>1213</v>
      </c>
      <c r="D756" s="13" t="str">
        <f t="shared" si="57"/>
        <v>513021********0961</v>
      </c>
      <c r="E756" s="13" t="str">
        <f t="shared" si="58"/>
        <v>女</v>
      </c>
      <c r="F756" s="17">
        <f ca="1" t="shared" si="59"/>
        <v>57</v>
      </c>
      <c r="G756" s="13" t="s">
        <v>475</v>
      </c>
      <c r="H756" s="20"/>
      <c r="I756" s="13" t="s">
        <v>21</v>
      </c>
      <c r="J756" s="13" t="s">
        <v>973</v>
      </c>
      <c r="K756" s="13"/>
      <c r="L756" s="17"/>
      <c r="M756" s="13" t="s">
        <v>416</v>
      </c>
      <c r="N756" s="17" t="s">
        <v>34</v>
      </c>
      <c r="O756" s="13"/>
      <c r="P756" s="13"/>
    </row>
    <row r="757" ht="15.6" spans="1:16">
      <c r="A757" s="10">
        <v>754</v>
      </c>
      <c r="B757" s="34" t="s">
        <v>1214</v>
      </c>
      <c r="C757" s="34" t="s">
        <v>1215</v>
      </c>
      <c r="D757" s="13" t="str">
        <f t="shared" si="57"/>
        <v>511721********5721</v>
      </c>
      <c r="E757" s="13" t="str">
        <f t="shared" si="58"/>
        <v>女</v>
      </c>
      <c r="F757" s="17">
        <f ca="1" t="shared" si="59"/>
        <v>21</v>
      </c>
      <c r="G757" s="13" t="s">
        <v>440</v>
      </c>
      <c r="H757" s="20"/>
      <c r="I757" s="13" t="s">
        <v>21</v>
      </c>
      <c r="J757" s="13" t="s">
        <v>973</v>
      </c>
      <c r="K757" s="13"/>
      <c r="L757" s="17"/>
      <c r="M757" s="13" t="s">
        <v>416</v>
      </c>
      <c r="N757" s="17" t="s">
        <v>34</v>
      </c>
      <c r="O757" s="13"/>
      <c r="P757" s="13"/>
    </row>
    <row r="758" ht="15.6" spans="1:16">
      <c r="A758" s="10">
        <v>755</v>
      </c>
      <c r="B758" s="34" t="s">
        <v>1216</v>
      </c>
      <c r="C758" s="34" t="s">
        <v>1217</v>
      </c>
      <c r="D758" s="13" t="str">
        <f t="shared" si="57"/>
        <v>513021********0443</v>
      </c>
      <c r="E758" s="13" t="str">
        <f t="shared" si="58"/>
        <v>女</v>
      </c>
      <c r="F758" s="17">
        <f ca="1" t="shared" si="59"/>
        <v>34</v>
      </c>
      <c r="G758" s="13" t="s">
        <v>440</v>
      </c>
      <c r="H758" s="20"/>
      <c r="I758" s="13" t="s">
        <v>21</v>
      </c>
      <c r="J758" s="13" t="s">
        <v>973</v>
      </c>
      <c r="K758" s="13"/>
      <c r="L758" s="17"/>
      <c r="M758" s="13" t="s">
        <v>416</v>
      </c>
      <c r="N758" s="17" t="s">
        <v>34</v>
      </c>
      <c r="O758" s="13"/>
      <c r="P758" s="13"/>
    </row>
    <row r="759" spans="1:16">
      <c r="A759" s="10">
        <v>756</v>
      </c>
      <c r="B759" s="13" t="s">
        <v>1218</v>
      </c>
      <c r="C759" s="13" t="str">
        <f>"513021195201130459"</f>
        <v>513021195201130459</v>
      </c>
      <c r="D759" s="13" t="str">
        <f t="shared" si="57"/>
        <v>513021********0459</v>
      </c>
      <c r="E759" s="13" t="str">
        <f t="shared" si="58"/>
        <v>男</v>
      </c>
      <c r="F759" s="17">
        <f ca="1" t="shared" si="59"/>
        <v>72</v>
      </c>
      <c r="G759" s="13" t="s">
        <v>20</v>
      </c>
      <c r="H759" s="18">
        <v>190</v>
      </c>
      <c r="I759" s="13" t="s">
        <v>21</v>
      </c>
      <c r="J759" s="13" t="s">
        <v>973</v>
      </c>
      <c r="K759" s="13"/>
      <c r="L759" s="17"/>
      <c r="M759" s="13" t="s">
        <v>416</v>
      </c>
      <c r="N759" s="17"/>
      <c r="O759" s="13" t="s">
        <v>417</v>
      </c>
      <c r="P759" s="13">
        <v>1</v>
      </c>
    </row>
    <row r="760" spans="1:16">
      <c r="A760" s="10">
        <v>757</v>
      </c>
      <c r="B760" s="13" t="s">
        <v>1219</v>
      </c>
      <c r="C760" s="13" t="str">
        <f>"513021196807220453"</f>
        <v>513021196807220453</v>
      </c>
      <c r="D760" s="13" t="str">
        <f t="shared" si="57"/>
        <v>513021********0453</v>
      </c>
      <c r="E760" s="13" t="str">
        <f t="shared" ref="E760:E783" si="60">IF(MOD(MID(C760,17,1),2)=1,"男","女")</f>
        <v>男</v>
      </c>
      <c r="F760" s="17">
        <f ca="1" t="shared" ref="F760:F785" si="61">YEAR(TODAY())-MID(C760,7,4)</f>
        <v>56</v>
      </c>
      <c r="G760" s="13" t="s">
        <v>20</v>
      </c>
      <c r="H760" s="18">
        <v>190</v>
      </c>
      <c r="I760" s="13" t="s">
        <v>21</v>
      </c>
      <c r="J760" s="13" t="s">
        <v>973</v>
      </c>
      <c r="K760" s="13"/>
      <c r="L760" s="17" t="str">
        <f>VLOOKUP(C760,[1]Sheet1!$B$2:$U$630,20,0)</f>
        <v>肢体四级;</v>
      </c>
      <c r="M760" s="13" t="s">
        <v>416</v>
      </c>
      <c r="N760" s="17" t="s">
        <v>34</v>
      </c>
      <c r="O760" s="13"/>
      <c r="P760" s="13">
        <v>2</v>
      </c>
    </row>
    <row r="761" ht="15.6" spans="1:16">
      <c r="A761" s="10">
        <v>758</v>
      </c>
      <c r="B761" s="34" t="s">
        <v>1220</v>
      </c>
      <c r="C761" s="34" t="s">
        <v>1221</v>
      </c>
      <c r="D761" s="13" t="str">
        <f t="shared" si="57"/>
        <v>513021********0440</v>
      </c>
      <c r="E761" s="13" t="str">
        <f t="shared" si="60"/>
        <v>女</v>
      </c>
      <c r="F761" s="17">
        <f ca="1" t="shared" si="61"/>
        <v>31</v>
      </c>
      <c r="G761" s="13" t="s">
        <v>510</v>
      </c>
      <c r="H761" s="20"/>
      <c r="I761" s="13" t="s">
        <v>21</v>
      </c>
      <c r="J761" s="13" t="s">
        <v>973</v>
      </c>
      <c r="K761" s="13"/>
      <c r="L761" s="17"/>
      <c r="M761" s="13" t="s">
        <v>416</v>
      </c>
      <c r="N761" s="17"/>
      <c r="O761" s="13"/>
      <c r="P761" s="13"/>
    </row>
    <row r="762" spans="1:16">
      <c r="A762" s="10">
        <v>759</v>
      </c>
      <c r="B762" s="13" t="s">
        <v>1222</v>
      </c>
      <c r="C762" s="13" t="str">
        <f>"513021196305060445"</f>
        <v>513021196305060445</v>
      </c>
      <c r="D762" s="13" t="str">
        <f t="shared" si="57"/>
        <v>513021********0445</v>
      </c>
      <c r="E762" s="13" t="str">
        <f t="shared" si="60"/>
        <v>女</v>
      </c>
      <c r="F762" s="17">
        <f ca="1" t="shared" si="61"/>
        <v>61</v>
      </c>
      <c r="G762" s="13" t="s">
        <v>20</v>
      </c>
      <c r="H762" s="18">
        <v>210</v>
      </c>
      <c r="I762" s="13" t="s">
        <v>21</v>
      </c>
      <c r="J762" s="13" t="s">
        <v>973</v>
      </c>
      <c r="K762" s="13"/>
      <c r="L762" s="17"/>
      <c r="M762" s="13" t="s">
        <v>416</v>
      </c>
      <c r="N762" s="17" t="s">
        <v>34</v>
      </c>
      <c r="O762" s="13"/>
      <c r="P762" s="13">
        <v>2</v>
      </c>
    </row>
    <row r="763" ht="15.6" spans="1:16">
      <c r="A763" s="10">
        <v>760</v>
      </c>
      <c r="B763" s="34" t="s">
        <v>1223</v>
      </c>
      <c r="C763" s="34" t="s">
        <v>1224</v>
      </c>
      <c r="D763" s="13" t="str">
        <f t="shared" si="57"/>
        <v>511721********5711</v>
      </c>
      <c r="E763" s="13" t="str">
        <f t="shared" si="60"/>
        <v>男</v>
      </c>
      <c r="F763" s="17">
        <f ca="1" t="shared" si="61"/>
        <v>22</v>
      </c>
      <c r="G763" s="13" t="s">
        <v>434</v>
      </c>
      <c r="H763" s="20"/>
      <c r="I763" s="13" t="s">
        <v>21</v>
      </c>
      <c r="J763" s="13" t="s">
        <v>973</v>
      </c>
      <c r="K763" s="13"/>
      <c r="L763" s="17"/>
      <c r="M763" s="13" t="s">
        <v>416</v>
      </c>
      <c r="N763" s="17" t="s">
        <v>34</v>
      </c>
      <c r="O763" s="13"/>
      <c r="P763" s="13"/>
    </row>
    <row r="764" spans="1:16">
      <c r="A764" s="10">
        <v>761</v>
      </c>
      <c r="B764" s="13" t="s">
        <v>1225</v>
      </c>
      <c r="C764" s="13" t="str">
        <f>"513021195104010447"</f>
        <v>513021195104010447</v>
      </c>
      <c r="D764" s="13" t="str">
        <f t="shared" si="57"/>
        <v>513021********0447</v>
      </c>
      <c r="E764" s="13" t="str">
        <f t="shared" si="60"/>
        <v>女</v>
      </c>
      <c r="F764" s="17">
        <f ca="1" t="shared" si="61"/>
        <v>73</v>
      </c>
      <c r="G764" s="13" t="s">
        <v>20</v>
      </c>
      <c r="H764" s="18">
        <v>190</v>
      </c>
      <c r="I764" s="13" t="s">
        <v>21</v>
      </c>
      <c r="J764" s="13" t="s">
        <v>973</v>
      </c>
      <c r="K764" s="13"/>
      <c r="L764" s="17" t="str">
        <f>VLOOKUP(C764,[1]Sheet1!$B$2:$U$630,20,0)</f>
        <v>肢体四级;</v>
      </c>
      <c r="M764" s="13" t="s">
        <v>416</v>
      </c>
      <c r="N764" s="17"/>
      <c r="O764" s="13" t="s">
        <v>417</v>
      </c>
      <c r="P764" s="13">
        <v>1</v>
      </c>
    </row>
    <row r="765" spans="1:16">
      <c r="A765" s="10">
        <v>762</v>
      </c>
      <c r="B765" s="13" t="s">
        <v>1226</v>
      </c>
      <c r="C765" s="13" t="str">
        <f>"513021195708080454"</f>
        <v>513021195708080454</v>
      </c>
      <c r="D765" s="13" t="str">
        <f t="shared" si="57"/>
        <v>513021********0454</v>
      </c>
      <c r="E765" s="13" t="str">
        <f t="shared" si="60"/>
        <v>男</v>
      </c>
      <c r="F765" s="17">
        <f ca="1" t="shared" si="61"/>
        <v>67</v>
      </c>
      <c r="G765" s="13" t="s">
        <v>20</v>
      </c>
      <c r="H765" s="18">
        <v>190</v>
      </c>
      <c r="I765" s="13" t="s">
        <v>21</v>
      </c>
      <c r="J765" s="13" t="s">
        <v>973</v>
      </c>
      <c r="K765" s="13"/>
      <c r="L765" s="17"/>
      <c r="M765" s="13" t="s">
        <v>416</v>
      </c>
      <c r="N765" s="17" t="s">
        <v>34</v>
      </c>
      <c r="O765" s="13"/>
      <c r="P765" s="13">
        <v>2</v>
      </c>
    </row>
    <row r="766" ht="15.6" spans="1:16">
      <c r="A766" s="10">
        <v>763</v>
      </c>
      <c r="B766" s="34" t="s">
        <v>1227</v>
      </c>
      <c r="C766" s="34" t="s">
        <v>1228</v>
      </c>
      <c r="D766" s="13" t="str">
        <f t="shared" si="57"/>
        <v>513021********0441</v>
      </c>
      <c r="E766" s="13" t="str">
        <f t="shared" si="60"/>
        <v>女</v>
      </c>
      <c r="F766" s="17">
        <f ca="1" t="shared" si="61"/>
        <v>25</v>
      </c>
      <c r="G766" s="13" t="s">
        <v>440</v>
      </c>
      <c r="H766" s="20"/>
      <c r="I766" s="13" t="s">
        <v>21</v>
      </c>
      <c r="J766" s="13" t="s">
        <v>973</v>
      </c>
      <c r="K766" s="13"/>
      <c r="L766" s="17"/>
      <c r="M766" s="13" t="s">
        <v>416</v>
      </c>
      <c r="N766" s="17" t="s">
        <v>34</v>
      </c>
      <c r="O766" s="13"/>
      <c r="P766" s="13"/>
    </row>
    <row r="767" spans="1:16">
      <c r="A767" s="10">
        <v>764</v>
      </c>
      <c r="B767" s="13" t="s">
        <v>1229</v>
      </c>
      <c r="C767" s="13" t="str">
        <f>"511721201206155713"</f>
        <v>511721201206155713</v>
      </c>
      <c r="D767" s="13" t="str">
        <f t="shared" si="57"/>
        <v>511721********5713</v>
      </c>
      <c r="E767" s="13" t="str">
        <f t="shared" si="60"/>
        <v>男</v>
      </c>
      <c r="F767" s="17">
        <f ca="1" t="shared" si="61"/>
        <v>12</v>
      </c>
      <c r="G767" s="13" t="s">
        <v>20</v>
      </c>
      <c r="H767" s="18">
        <v>190</v>
      </c>
      <c r="I767" s="13" t="s">
        <v>21</v>
      </c>
      <c r="J767" s="13" t="s">
        <v>973</v>
      </c>
      <c r="K767" s="13"/>
      <c r="L767" s="17" t="str">
        <f>VLOOKUP(C767,[1]Sheet1!$B$2:$U$630,20,0)</f>
        <v>视力三级;</v>
      </c>
      <c r="M767" s="13" t="s">
        <v>416</v>
      </c>
      <c r="N767" s="17"/>
      <c r="O767" s="13" t="s">
        <v>417</v>
      </c>
      <c r="P767" s="13">
        <v>1</v>
      </c>
    </row>
    <row r="768" spans="1:16">
      <c r="A768" s="10">
        <v>765</v>
      </c>
      <c r="B768" s="13" t="s">
        <v>1230</v>
      </c>
      <c r="C768" s="13" t="str">
        <f>"513021193801150454"</f>
        <v>513021193801150454</v>
      </c>
      <c r="D768" s="13" t="str">
        <f t="shared" si="57"/>
        <v>513021********0454</v>
      </c>
      <c r="E768" s="13" t="str">
        <f t="shared" si="60"/>
        <v>男</v>
      </c>
      <c r="F768" s="17">
        <f ca="1" t="shared" si="61"/>
        <v>86</v>
      </c>
      <c r="G768" s="13" t="s">
        <v>20</v>
      </c>
      <c r="H768" s="18">
        <v>190</v>
      </c>
      <c r="I768" s="13" t="s">
        <v>21</v>
      </c>
      <c r="J768" s="13" t="s">
        <v>973</v>
      </c>
      <c r="K768" s="13"/>
      <c r="L768" s="17" t="str">
        <f>VLOOKUP(C768,[1]Sheet1!$B$2:$U$630,20,0)</f>
        <v>听力四级;</v>
      </c>
      <c r="M768" s="13" t="s">
        <v>416</v>
      </c>
      <c r="N768" s="17"/>
      <c r="O768" s="13" t="s">
        <v>417</v>
      </c>
      <c r="P768" s="13">
        <v>1</v>
      </c>
    </row>
    <row r="769" spans="1:16">
      <c r="A769" s="10">
        <v>766</v>
      </c>
      <c r="B769" s="13" t="s">
        <v>1231</v>
      </c>
      <c r="C769" s="13" t="str">
        <f>"513021193008180455"</f>
        <v>513021193008180455</v>
      </c>
      <c r="D769" s="13" t="str">
        <f t="shared" si="57"/>
        <v>513021********0455</v>
      </c>
      <c r="E769" s="13" t="str">
        <f t="shared" si="60"/>
        <v>男</v>
      </c>
      <c r="F769" s="17">
        <f ca="1" t="shared" si="61"/>
        <v>94</v>
      </c>
      <c r="G769" s="13" t="s">
        <v>20</v>
      </c>
      <c r="H769" s="18">
        <v>190</v>
      </c>
      <c r="I769" s="13" t="s">
        <v>21</v>
      </c>
      <c r="J769" s="13" t="s">
        <v>973</v>
      </c>
      <c r="K769" s="13"/>
      <c r="L769" s="17" t="str">
        <f>VLOOKUP(C769,[1]Sheet1!$B$2:$U$630,20,0)</f>
        <v>视力一级;</v>
      </c>
      <c r="M769" s="13" t="s">
        <v>416</v>
      </c>
      <c r="N769" s="17"/>
      <c r="O769" s="13" t="s">
        <v>417</v>
      </c>
      <c r="P769" s="13">
        <v>1</v>
      </c>
    </row>
    <row r="770" spans="1:16">
      <c r="A770" s="10">
        <v>767</v>
      </c>
      <c r="B770" s="13" t="s">
        <v>1232</v>
      </c>
      <c r="C770" s="13" t="str">
        <f>"513021193310140462"</f>
        <v>513021193310140462</v>
      </c>
      <c r="D770" s="13" t="str">
        <f t="shared" si="57"/>
        <v>513021********0462</v>
      </c>
      <c r="E770" s="13" t="str">
        <f t="shared" si="60"/>
        <v>女</v>
      </c>
      <c r="F770" s="17">
        <f ca="1" t="shared" si="61"/>
        <v>91</v>
      </c>
      <c r="G770" s="13" t="s">
        <v>20</v>
      </c>
      <c r="H770" s="18">
        <v>190</v>
      </c>
      <c r="I770" s="13" t="s">
        <v>21</v>
      </c>
      <c r="J770" s="13" t="s">
        <v>973</v>
      </c>
      <c r="K770" s="13"/>
      <c r="L770" s="17"/>
      <c r="M770" s="13" t="s">
        <v>416</v>
      </c>
      <c r="N770" s="17"/>
      <c r="O770" s="13" t="s">
        <v>417</v>
      </c>
      <c r="P770" s="13">
        <v>1</v>
      </c>
    </row>
    <row r="771" spans="1:16">
      <c r="A771" s="10">
        <v>768</v>
      </c>
      <c r="B771" s="13" t="s">
        <v>1233</v>
      </c>
      <c r="C771" s="13" t="s">
        <v>1234</v>
      </c>
      <c r="D771" s="13" t="str">
        <f t="shared" si="57"/>
        <v>513021********044X</v>
      </c>
      <c r="E771" s="13" t="str">
        <f t="shared" si="60"/>
        <v>女</v>
      </c>
      <c r="F771" s="17">
        <f ca="1" t="shared" si="61"/>
        <v>89</v>
      </c>
      <c r="G771" s="13" t="s">
        <v>20</v>
      </c>
      <c r="H771" s="18">
        <v>190</v>
      </c>
      <c r="I771" s="13" t="s">
        <v>21</v>
      </c>
      <c r="J771" s="13" t="s">
        <v>973</v>
      </c>
      <c r="K771" s="13"/>
      <c r="L771" s="17"/>
      <c r="M771" s="13" t="s">
        <v>416</v>
      </c>
      <c r="N771" s="17"/>
      <c r="O771" s="13" t="s">
        <v>417</v>
      </c>
      <c r="P771" s="13">
        <v>1</v>
      </c>
    </row>
    <row r="772" ht="15.6" spans="1:16">
      <c r="A772" s="10">
        <v>769</v>
      </c>
      <c r="B772" s="34" t="s">
        <v>1235</v>
      </c>
      <c r="C772" s="34" t="s">
        <v>1236</v>
      </c>
      <c r="D772" s="13" t="str">
        <f t="shared" si="57"/>
        <v>513021********0459</v>
      </c>
      <c r="E772" s="13" t="str">
        <f t="shared" si="60"/>
        <v>男</v>
      </c>
      <c r="F772" s="17">
        <f ca="1" t="shared" si="61"/>
        <v>52</v>
      </c>
      <c r="G772" s="13" t="s">
        <v>20</v>
      </c>
      <c r="H772" s="20">
        <v>220</v>
      </c>
      <c r="I772" s="13" t="s">
        <v>21</v>
      </c>
      <c r="J772" s="13" t="s">
        <v>973</v>
      </c>
      <c r="K772" s="13"/>
      <c r="L772" s="17"/>
      <c r="M772" s="13" t="s">
        <v>416</v>
      </c>
      <c r="N772" s="17" t="s">
        <v>34</v>
      </c>
      <c r="O772" s="13"/>
      <c r="P772" s="13">
        <v>2</v>
      </c>
    </row>
    <row r="773" ht="15.6" spans="1:16">
      <c r="A773" s="10">
        <v>770</v>
      </c>
      <c r="B773" s="34" t="s">
        <v>1237</v>
      </c>
      <c r="C773" s="34" t="s">
        <v>1238</v>
      </c>
      <c r="D773" s="13" t="str">
        <f t="shared" ref="D773:D836" si="62">REPLACE(C773,7,8,"********")</f>
        <v>513021********044X</v>
      </c>
      <c r="E773" s="13" t="str">
        <f t="shared" si="60"/>
        <v>女</v>
      </c>
      <c r="F773" s="17">
        <f ca="1" t="shared" si="61"/>
        <v>77</v>
      </c>
      <c r="G773" s="13" t="s">
        <v>434</v>
      </c>
      <c r="H773" s="20"/>
      <c r="I773" s="13" t="s">
        <v>21</v>
      </c>
      <c r="J773" s="13" t="s">
        <v>973</v>
      </c>
      <c r="K773" s="13"/>
      <c r="L773" s="17"/>
      <c r="M773" s="13" t="s">
        <v>416</v>
      </c>
      <c r="N773" s="17" t="s">
        <v>34</v>
      </c>
      <c r="O773" s="13"/>
      <c r="P773" s="13"/>
    </row>
    <row r="774" spans="1:16">
      <c r="A774" s="10">
        <v>771</v>
      </c>
      <c r="B774" s="13" t="s">
        <v>1239</v>
      </c>
      <c r="C774" s="13" t="s">
        <v>1240</v>
      </c>
      <c r="D774" s="13" t="str">
        <f t="shared" si="62"/>
        <v>513021********044X</v>
      </c>
      <c r="E774" s="13" t="str">
        <f t="shared" si="60"/>
        <v>女</v>
      </c>
      <c r="F774" s="17">
        <f ca="1" t="shared" si="61"/>
        <v>93</v>
      </c>
      <c r="G774" s="13" t="s">
        <v>20</v>
      </c>
      <c r="H774" s="18">
        <v>190</v>
      </c>
      <c r="I774" s="13" t="s">
        <v>21</v>
      </c>
      <c r="J774" s="13" t="s">
        <v>973</v>
      </c>
      <c r="K774" s="13"/>
      <c r="L774" s="17"/>
      <c r="M774" s="13" t="s">
        <v>416</v>
      </c>
      <c r="N774" s="17"/>
      <c r="O774" s="13" t="s">
        <v>417</v>
      </c>
      <c r="P774" s="13">
        <v>1</v>
      </c>
    </row>
    <row r="775" spans="1:16">
      <c r="A775" s="10">
        <v>772</v>
      </c>
      <c r="B775" s="13" t="s">
        <v>621</v>
      </c>
      <c r="C775" s="13" t="str">
        <f>"513021196001180448"</f>
        <v>513021196001180448</v>
      </c>
      <c r="D775" s="13" t="str">
        <f t="shared" si="62"/>
        <v>513021********0448</v>
      </c>
      <c r="E775" s="13" t="str">
        <f t="shared" si="60"/>
        <v>女</v>
      </c>
      <c r="F775" s="17">
        <f ca="1" t="shared" si="61"/>
        <v>64</v>
      </c>
      <c r="G775" s="13" t="s">
        <v>20</v>
      </c>
      <c r="H775" s="18">
        <v>190</v>
      </c>
      <c r="I775" s="13" t="s">
        <v>21</v>
      </c>
      <c r="J775" s="13" t="s">
        <v>973</v>
      </c>
      <c r="K775" s="13"/>
      <c r="L775" s="17"/>
      <c r="M775" s="13" t="s">
        <v>416</v>
      </c>
      <c r="N775" s="17"/>
      <c r="O775" s="13" t="s">
        <v>417</v>
      </c>
      <c r="P775" s="13">
        <v>1</v>
      </c>
    </row>
    <row r="776" spans="1:16">
      <c r="A776" s="10">
        <v>773</v>
      </c>
      <c r="B776" s="13" t="s">
        <v>1241</v>
      </c>
      <c r="C776" s="13" t="str">
        <f>"513021196302250454"</f>
        <v>513021196302250454</v>
      </c>
      <c r="D776" s="13" t="str">
        <f t="shared" si="62"/>
        <v>513021********0454</v>
      </c>
      <c r="E776" s="13" t="str">
        <f t="shared" si="60"/>
        <v>男</v>
      </c>
      <c r="F776" s="17">
        <f ca="1" t="shared" si="61"/>
        <v>61</v>
      </c>
      <c r="G776" s="13" t="s">
        <v>20</v>
      </c>
      <c r="H776" s="18">
        <v>190</v>
      </c>
      <c r="I776" s="13" t="s">
        <v>21</v>
      </c>
      <c r="J776" s="13" t="s">
        <v>973</v>
      </c>
      <c r="K776" s="13"/>
      <c r="L776" s="17" t="str">
        <f>VLOOKUP(C776,[1]Sheet1!$B$2:$U$630,20,0)</f>
        <v>听力三级;</v>
      </c>
      <c r="M776" s="13" t="s">
        <v>416</v>
      </c>
      <c r="N776" s="17" t="s">
        <v>34</v>
      </c>
      <c r="O776" s="13"/>
      <c r="P776" s="13">
        <v>2</v>
      </c>
    </row>
    <row r="777" ht="15.6" spans="1:16">
      <c r="A777" s="10">
        <v>774</v>
      </c>
      <c r="B777" s="34" t="s">
        <v>1242</v>
      </c>
      <c r="C777" s="34" t="s">
        <v>1243</v>
      </c>
      <c r="D777" s="13" t="str">
        <f t="shared" si="62"/>
        <v>513021********0445</v>
      </c>
      <c r="E777" s="13" t="str">
        <f t="shared" si="60"/>
        <v>女</v>
      </c>
      <c r="F777" s="17">
        <f ca="1" t="shared" si="61"/>
        <v>29</v>
      </c>
      <c r="G777" s="13" t="s">
        <v>510</v>
      </c>
      <c r="H777" s="20"/>
      <c r="I777" s="13" t="s">
        <v>21</v>
      </c>
      <c r="J777" s="13" t="s">
        <v>973</v>
      </c>
      <c r="K777" s="13"/>
      <c r="L777" s="17"/>
      <c r="M777" s="13" t="s">
        <v>416</v>
      </c>
      <c r="N777" s="17" t="s">
        <v>34</v>
      </c>
      <c r="O777" s="13"/>
      <c r="P777" s="13"/>
    </row>
    <row r="778" spans="1:16">
      <c r="A778" s="10">
        <v>775</v>
      </c>
      <c r="B778" s="13" t="s">
        <v>1244</v>
      </c>
      <c r="C778" s="13" t="s">
        <v>1245</v>
      </c>
      <c r="D778" s="13" t="str">
        <f t="shared" si="62"/>
        <v>513021********044X</v>
      </c>
      <c r="E778" s="13" t="str">
        <f t="shared" ref="E778:E785" si="63">IF(MOD(MID(C778,17,1),2)=1,"男","女")</f>
        <v>女</v>
      </c>
      <c r="F778" s="17">
        <f ca="1" t="shared" si="61"/>
        <v>99</v>
      </c>
      <c r="G778" s="13" t="s">
        <v>20</v>
      </c>
      <c r="H778" s="18">
        <v>190</v>
      </c>
      <c r="I778" s="13" t="s">
        <v>21</v>
      </c>
      <c r="J778" s="13" t="s">
        <v>973</v>
      </c>
      <c r="K778" s="13"/>
      <c r="L778" s="17"/>
      <c r="M778" s="13" t="s">
        <v>416</v>
      </c>
      <c r="N778" s="17"/>
      <c r="O778" s="13" t="s">
        <v>417</v>
      </c>
      <c r="P778" s="13">
        <v>1</v>
      </c>
    </row>
    <row r="779" spans="1:16">
      <c r="A779" s="10">
        <v>776</v>
      </c>
      <c r="B779" s="13" t="s">
        <v>1246</v>
      </c>
      <c r="C779" s="13" t="str">
        <f>"513021196906050963"</f>
        <v>513021196906050963</v>
      </c>
      <c r="D779" s="13" t="str">
        <f t="shared" si="62"/>
        <v>513021********0963</v>
      </c>
      <c r="E779" s="13" t="str">
        <f t="shared" si="63"/>
        <v>女</v>
      </c>
      <c r="F779" s="17">
        <f ca="1" t="shared" si="61"/>
        <v>55</v>
      </c>
      <c r="G779" s="13" t="s">
        <v>20</v>
      </c>
      <c r="H779" s="18">
        <v>190</v>
      </c>
      <c r="I779" s="13" t="s">
        <v>21</v>
      </c>
      <c r="J779" s="13" t="s">
        <v>973</v>
      </c>
      <c r="K779" s="13"/>
      <c r="L779" s="17" t="str">
        <f>VLOOKUP(C779,[1]Sheet1!$B$2:$U$630,20,0)</f>
        <v>精神二级;</v>
      </c>
      <c r="M779" s="13" t="s">
        <v>416</v>
      </c>
      <c r="N779" s="17"/>
      <c r="O779" s="13" t="s">
        <v>417</v>
      </c>
      <c r="P779" s="13">
        <v>1</v>
      </c>
    </row>
    <row r="780" spans="1:16">
      <c r="A780" s="10">
        <v>777</v>
      </c>
      <c r="B780" s="13" t="s">
        <v>1247</v>
      </c>
      <c r="C780" s="13" t="str">
        <f>"513021194907010454"</f>
        <v>513021194907010454</v>
      </c>
      <c r="D780" s="13" t="str">
        <f t="shared" si="62"/>
        <v>513021********0454</v>
      </c>
      <c r="E780" s="13" t="str">
        <f t="shared" si="63"/>
        <v>男</v>
      </c>
      <c r="F780" s="17">
        <f ca="1" t="shared" si="61"/>
        <v>75</v>
      </c>
      <c r="G780" s="13" t="s">
        <v>20</v>
      </c>
      <c r="H780" s="18">
        <v>190</v>
      </c>
      <c r="I780" s="13" t="s">
        <v>21</v>
      </c>
      <c r="J780" s="13" t="s">
        <v>973</v>
      </c>
      <c r="K780" s="13"/>
      <c r="L780" s="17"/>
      <c r="M780" s="13" t="s">
        <v>416</v>
      </c>
      <c r="N780" s="17"/>
      <c r="O780" s="13" t="s">
        <v>417</v>
      </c>
      <c r="P780" s="13">
        <v>1</v>
      </c>
    </row>
    <row r="781" spans="1:16">
      <c r="A781" s="10">
        <v>778</v>
      </c>
      <c r="B781" s="13" t="s">
        <v>1248</v>
      </c>
      <c r="C781" s="13" t="str">
        <f>"513021193102120440"</f>
        <v>513021193102120440</v>
      </c>
      <c r="D781" s="13" t="str">
        <f t="shared" si="62"/>
        <v>513021********0440</v>
      </c>
      <c r="E781" s="13" t="str">
        <f t="shared" si="63"/>
        <v>女</v>
      </c>
      <c r="F781" s="17">
        <f ca="1" t="shared" si="61"/>
        <v>93</v>
      </c>
      <c r="G781" s="13" t="s">
        <v>20</v>
      </c>
      <c r="H781" s="18">
        <v>190</v>
      </c>
      <c r="I781" s="13" t="s">
        <v>21</v>
      </c>
      <c r="J781" s="13" t="s">
        <v>973</v>
      </c>
      <c r="K781" s="13"/>
      <c r="L781" s="17"/>
      <c r="M781" s="13" t="s">
        <v>416</v>
      </c>
      <c r="N781" s="17"/>
      <c r="O781" s="13" t="s">
        <v>417</v>
      </c>
      <c r="P781" s="13">
        <v>1</v>
      </c>
    </row>
    <row r="782" spans="1:16">
      <c r="A782" s="10">
        <v>779</v>
      </c>
      <c r="B782" s="13" t="s">
        <v>1249</v>
      </c>
      <c r="C782" s="13" t="str">
        <f>"513021193405130443"</f>
        <v>513021193405130443</v>
      </c>
      <c r="D782" s="13" t="str">
        <f t="shared" si="62"/>
        <v>513021********0443</v>
      </c>
      <c r="E782" s="13" t="str">
        <f t="shared" si="63"/>
        <v>女</v>
      </c>
      <c r="F782" s="17">
        <f ca="1" t="shared" si="61"/>
        <v>90</v>
      </c>
      <c r="G782" s="13" t="s">
        <v>20</v>
      </c>
      <c r="H782" s="18">
        <v>380</v>
      </c>
      <c r="I782" s="13" t="s">
        <v>21</v>
      </c>
      <c r="J782" s="13" t="s">
        <v>973</v>
      </c>
      <c r="K782" s="13"/>
      <c r="L782" s="17"/>
      <c r="M782" s="13" t="s">
        <v>416</v>
      </c>
      <c r="N782" s="17" t="s">
        <v>34</v>
      </c>
      <c r="O782" s="13"/>
      <c r="P782" s="13">
        <v>2</v>
      </c>
    </row>
    <row r="783" ht="15.6" spans="1:16">
      <c r="A783" s="10">
        <v>780</v>
      </c>
      <c r="B783" s="34" t="s">
        <v>1250</v>
      </c>
      <c r="C783" s="34" t="s">
        <v>1251</v>
      </c>
      <c r="D783" s="13" t="str">
        <f t="shared" si="62"/>
        <v>513021********0455</v>
      </c>
      <c r="E783" s="13" t="str">
        <f t="shared" si="63"/>
        <v>男</v>
      </c>
      <c r="F783" s="17">
        <f ca="1" t="shared" si="61"/>
        <v>50</v>
      </c>
      <c r="G783" s="13" t="s">
        <v>434</v>
      </c>
      <c r="H783" s="20"/>
      <c r="I783" s="13" t="s">
        <v>21</v>
      </c>
      <c r="J783" s="13" t="s">
        <v>973</v>
      </c>
      <c r="K783" s="13"/>
      <c r="L783" s="17"/>
      <c r="M783" s="13" t="s">
        <v>416</v>
      </c>
      <c r="N783" s="17"/>
      <c r="O783" s="13"/>
      <c r="P783" s="13"/>
    </row>
    <row r="784" spans="1:16">
      <c r="A784" s="10">
        <v>781</v>
      </c>
      <c r="B784" s="13" t="s">
        <v>1252</v>
      </c>
      <c r="C784" s="13" t="str">
        <f>"513021192802160449"</f>
        <v>513021192802160449</v>
      </c>
      <c r="D784" s="13" t="str">
        <f t="shared" si="62"/>
        <v>513021********0449</v>
      </c>
      <c r="E784" s="13" t="str">
        <f t="shared" si="63"/>
        <v>女</v>
      </c>
      <c r="F784" s="17">
        <f ca="1" t="shared" si="61"/>
        <v>96</v>
      </c>
      <c r="G784" s="13" t="s">
        <v>20</v>
      </c>
      <c r="H784" s="18">
        <v>190</v>
      </c>
      <c r="I784" s="13" t="s">
        <v>21</v>
      </c>
      <c r="J784" s="13" t="s">
        <v>973</v>
      </c>
      <c r="K784" s="13"/>
      <c r="L784" s="17"/>
      <c r="M784" s="13" t="s">
        <v>416</v>
      </c>
      <c r="N784" s="17"/>
      <c r="O784" s="13" t="s">
        <v>417</v>
      </c>
      <c r="P784" s="13">
        <v>1</v>
      </c>
    </row>
    <row r="785" spans="1:16">
      <c r="A785" s="10">
        <v>782</v>
      </c>
      <c r="B785" s="13" t="s">
        <v>1253</v>
      </c>
      <c r="C785" s="13" t="s">
        <v>1254</v>
      </c>
      <c r="D785" s="13" t="str">
        <f t="shared" si="62"/>
        <v>513021********046X</v>
      </c>
      <c r="E785" s="13" t="str">
        <f t="shared" ref="E785:E819" si="64">IF(MOD(MID(C785,17,1),2)=1,"男","女")</f>
        <v>女</v>
      </c>
      <c r="F785" s="17">
        <f ca="1" t="shared" ref="F785:F804" si="65">YEAR(TODAY())-MID(C785,7,4)</f>
        <v>67</v>
      </c>
      <c r="G785" s="13" t="s">
        <v>20</v>
      </c>
      <c r="H785" s="18">
        <v>190</v>
      </c>
      <c r="I785" s="13" t="s">
        <v>21</v>
      </c>
      <c r="J785" s="13" t="s">
        <v>973</v>
      </c>
      <c r="K785" s="13"/>
      <c r="L785" s="17"/>
      <c r="M785" s="13" t="s">
        <v>416</v>
      </c>
      <c r="N785" s="17"/>
      <c r="O785" s="13" t="s">
        <v>417</v>
      </c>
      <c r="P785" s="13">
        <v>1</v>
      </c>
    </row>
    <row r="786" spans="1:16">
      <c r="A786" s="10">
        <v>783</v>
      </c>
      <c r="B786" s="13" t="s">
        <v>1255</v>
      </c>
      <c r="C786" s="13" t="str">
        <f>"513021195601120444"</f>
        <v>513021195601120444</v>
      </c>
      <c r="D786" s="13" t="str">
        <f t="shared" si="62"/>
        <v>513021********0444</v>
      </c>
      <c r="E786" s="13" t="str">
        <f t="shared" si="64"/>
        <v>女</v>
      </c>
      <c r="F786" s="17">
        <f ca="1" t="shared" si="65"/>
        <v>68</v>
      </c>
      <c r="G786" s="13" t="s">
        <v>20</v>
      </c>
      <c r="H786" s="18">
        <v>190</v>
      </c>
      <c r="I786" s="13" t="s">
        <v>21</v>
      </c>
      <c r="J786" s="13" t="s">
        <v>973</v>
      </c>
      <c r="K786" s="13"/>
      <c r="L786" s="17"/>
      <c r="M786" s="13" t="s">
        <v>416</v>
      </c>
      <c r="N786" s="17" t="s">
        <v>34</v>
      </c>
      <c r="O786" s="13"/>
      <c r="P786" s="13">
        <v>4</v>
      </c>
    </row>
    <row r="787" ht="15.6" spans="1:16">
      <c r="A787" s="10">
        <v>784</v>
      </c>
      <c r="B787" s="34" t="s">
        <v>1256</v>
      </c>
      <c r="C787" s="34" t="s">
        <v>1257</v>
      </c>
      <c r="D787" s="13" t="str">
        <f t="shared" si="62"/>
        <v>513021********0454</v>
      </c>
      <c r="E787" s="13" t="str">
        <f t="shared" si="64"/>
        <v>男</v>
      </c>
      <c r="F787" s="17">
        <f ca="1" t="shared" si="65"/>
        <v>66</v>
      </c>
      <c r="G787" s="13" t="s">
        <v>37</v>
      </c>
      <c r="H787" s="20"/>
      <c r="I787" s="13" t="s">
        <v>21</v>
      </c>
      <c r="J787" s="13" t="s">
        <v>973</v>
      </c>
      <c r="K787" s="13"/>
      <c r="L787" s="17"/>
      <c r="M787" s="13" t="s">
        <v>416</v>
      </c>
      <c r="N787" s="17" t="s">
        <v>34</v>
      </c>
      <c r="O787" s="13"/>
      <c r="P787" s="13"/>
    </row>
    <row r="788" ht="15.6" spans="1:16">
      <c r="A788" s="10">
        <v>785</v>
      </c>
      <c r="B788" s="34" t="s">
        <v>1258</v>
      </c>
      <c r="C788" s="34" t="s">
        <v>1259</v>
      </c>
      <c r="D788" s="13" t="str">
        <f t="shared" si="62"/>
        <v>511721********5721</v>
      </c>
      <c r="E788" s="13" t="str">
        <f t="shared" si="64"/>
        <v>女</v>
      </c>
      <c r="F788" s="17">
        <f ca="1" t="shared" si="65"/>
        <v>12</v>
      </c>
      <c r="G788" s="13" t="s">
        <v>440</v>
      </c>
      <c r="H788" s="20"/>
      <c r="I788" s="13" t="s">
        <v>21</v>
      </c>
      <c r="J788" s="13" t="s">
        <v>973</v>
      </c>
      <c r="K788" s="13"/>
      <c r="L788" s="17"/>
      <c r="M788" s="13" t="s">
        <v>416</v>
      </c>
      <c r="N788" s="17" t="s">
        <v>34</v>
      </c>
      <c r="O788" s="13"/>
      <c r="P788" s="13"/>
    </row>
    <row r="789" ht="15.6" spans="1:16">
      <c r="A789" s="10">
        <v>786</v>
      </c>
      <c r="B789" s="34" t="s">
        <v>1260</v>
      </c>
      <c r="C789" s="34" t="s">
        <v>1261</v>
      </c>
      <c r="D789" s="13" t="str">
        <f t="shared" si="62"/>
        <v>511721********5728</v>
      </c>
      <c r="E789" s="13" t="str">
        <f t="shared" si="64"/>
        <v>女</v>
      </c>
      <c r="F789" s="17">
        <f ca="1" t="shared" si="65"/>
        <v>15</v>
      </c>
      <c r="G789" s="13" t="s">
        <v>440</v>
      </c>
      <c r="H789" s="20"/>
      <c r="I789" s="13" t="s">
        <v>21</v>
      </c>
      <c r="J789" s="13" t="s">
        <v>973</v>
      </c>
      <c r="K789" s="13"/>
      <c r="L789" s="17"/>
      <c r="M789" s="13" t="s">
        <v>416</v>
      </c>
      <c r="N789" s="17" t="s">
        <v>34</v>
      </c>
      <c r="O789" s="13"/>
      <c r="P789" s="13"/>
    </row>
    <row r="790" spans="1:16">
      <c r="A790" s="10">
        <v>787</v>
      </c>
      <c r="B790" s="13" t="s">
        <v>1262</v>
      </c>
      <c r="C790" s="13" t="str">
        <f>"513021197907073029"</f>
        <v>513021197907073029</v>
      </c>
      <c r="D790" s="13" t="str">
        <f t="shared" si="62"/>
        <v>513021********3029</v>
      </c>
      <c r="E790" s="13" t="str">
        <f t="shared" si="64"/>
        <v>女</v>
      </c>
      <c r="F790" s="17">
        <f ca="1" t="shared" si="65"/>
        <v>45</v>
      </c>
      <c r="G790" s="13" t="s">
        <v>20</v>
      </c>
      <c r="H790" s="18">
        <v>190</v>
      </c>
      <c r="I790" s="13" t="s">
        <v>21</v>
      </c>
      <c r="J790" s="13" t="s">
        <v>973</v>
      </c>
      <c r="K790" s="13"/>
      <c r="L790" s="17" t="str">
        <f>VLOOKUP(C790,[1]Sheet1!$B$2:$U$630,20,0)</f>
        <v>视力三级;</v>
      </c>
      <c r="M790" s="13" t="s">
        <v>416</v>
      </c>
      <c r="N790" s="17"/>
      <c r="O790" s="13" t="s">
        <v>417</v>
      </c>
      <c r="P790" s="13">
        <v>1</v>
      </c>
    </row>
    <row r="791" spans="1:16">
      <c r="A791" s="10">
        <v>788</v>
      </c>
      <c r="B791" s="13" t="s">
        <v>1263</v>
      </c>
      <c r="C791" s="13" t="str">
        <f>"513021194708260477"</f>
        <v>513021194708260477</v>
      </c>
      <c r="D791" s="13" t="str">
        <f t="shared" si="62"/>
        <v>513021********0477</v>
      </c>
      <c r="E791" s="13" t="str">
        <f t="shared" si="64"/>
        <v>男</v>
      </c>
      <c r="F791" s="17">
        <f ca="1" t="shared" si="65"/>
        <v>77</v>
      </c>
      <c r="G791" s="13" t="s">
        <v>20</v>
      </c>
      <c r="H791" s="18">
        <v>190</v>
      </c>
      <c r="I791" s="13" t="s">
        <v>21</v>
      </c>
      <c r="J791" s="13" t="s">
        <v>973</v>
      </c>
      <c r="K791" s="13"/>
      <c r="L791" s="17" t="str">
        <f>VLOOKUP(C791,[1]Sheet1!$B$2:$U$630,20,0)</f>
        <v>视力四级;</v>
      </c>
      <c r="M791" s="13" t="s">
        <v>416</v>
      </c>
      <c r="N791" s="17"/>
      <c r="O791" s="13" t="s">
        <v>417</v>
      </c>
      <c r="P791" s="13">
        <v>1</v>
      </c>
    </row>
    <row r="792" spans="1:16">
      <c r="A792" s="10">
        <v>789</v>
      </c>
      <c r="B792" s="13" t="s">
        <v>1264</v>
      </c>
      <c r="C792" s="13" t="s">
        <v>1265</v>
      </c>
      <c r="D792" s="13" t="str">
        <f t="shared" si="62"/>
        <v>513021********044X</v>
      </c>
      <c r="E792" s="13" t="str">
        <f t="shared" si="64"/>
        <v>女</v>
      </c>
      <c r="F792" s="17">
        <f ca="1" t="shared" si="65"/>
        <v>81</v>
      </c>
      <c r="G792" s="13" t="s">
        <v>20</v>
      </c>
      <c r="H792" s="18">
        <v>190</v>
      </c>
      <c r="I792" s="13" t="s">
        <v>21</v>
      </c>
      <c r="J792" s="13" t="s">
        <v>973</v>
      </c>
      <c r="K792" s="13"/>
      <c r="L792" s="17" t="str">
        <f>VLOOKUP(C792,[1]Sheet1!$B$2:$U$630,20,0)</f>
        <v>视力三级;</v>
      </c>
      <c r="M792" s="13" t="s">
        <v>416</v>
      </c>
      <c r="N792" s="17"/>
      <c r="O792" s="13" t="s">
        <v>417</v>
      </c>
      <c r="P792" s="13">
        <v>1</v>
      </c>
    </row>
    <row r="793" spans="1:16">
      <c r="A793" s="10">
        <v>790</v>
      </c>
      <c r="B793" s="13" t="s">
        <v>1266</v>
      </c>
      <c r="C793" s="13" t="str">
        <f>"513021195205050448"</f>
        <v>513021195205050448</v>
      </c>
      <c r="D793" s="13" t="str">
        <f t="shared" si="62"/>
        <v>513021********0448</v>
      </c>
      <c r="E793" s="13" t="str">
        <f t="shared" si="64"/>
        <v>女</v>
      </c>
      <c r="F793" s="17">
        <f ca="1" t="shared" si="65"/>
        <v>72</v>
      </c>
      <c r="G793" s="13" t="s">
        <v>20</v>
      </c>
      <c r="H793" s="18">
        <v>190</v>
      </c>
      <c r="I793" s="13" t="s">
        <v>21</v>
      </c>
      <c r="J793" s="13" t="s">
        <v>973</v>
      </c>
      <c r="K793" s="13"/>
      <c r="L793" s="17"/>
      <c r="M793" s="13" t="s">
        <v>416</v>
      </c>
      <c r="N793" s="17"/>
      <c r="O793" s="13" t="s">
        <v>417</v>
      </c>
      <c r="P793" s="13">
        <v>1</v>
      </c>
    </row>
    <row r="794" spans="1:16">
      <c r="A794" s="10">
        <v>791</v>
      </c>
      <c r="B794" s="13" t="s">
        <v>1267</v>
      </c>
      <c r="C794" s="13" t="str">
        <f>"513021199212120465"</f>
        <v>513021199212120465</v>
      </c>
      <c r="D794" s="13" t="str">
        <f t="shared" si="62"/>
        <v>513021********0465</v>
      </c>
      <c r="E794" s="13" t="str">
        <f t="shared" si="64"/>
        <v>女</v>
      </c>
      <c r="F794" s="17">
        <f ca="1" t="shared" si="65"/>
        <v>32</v>
      </c>
      <c r="G794" s="13" t="s">
        <v>20</v>
      </c>
      <c r="H794" s="18">
        <v>190</v>
      </c>
      <c r="I794" s="13" t="s">
        <v>21</v>
      </c>
      <c r="J794" s="13" t="s">
        <v>973</v>
      </c>
      <c r="K794" s="13"/>
      <c r="L794" s="17" t="str">
        <f>VLOOKUP(C794,[1]Sheet1!$B$2:$U$630,20,0)</f>
        <v>精神二级;</v>
      </c>
      <c r="M794" s="13" t="s">
        <v>416</v>
      </c>
      <c r="N794" s="17" t="s">
        <v>34</v>
      </c>
      <c r="O794" s="13"/>
      <c r="P794" s="13">
        <v>5</v>
      </c>
    </row>
    <row r="795" ht="15.6" spans="1:16">
      <c r="A795" s="10">
        <v>792</v>
      </c>
      <c r="B795" s="34" t="s">
        <v>1268</v>
      </c>
      <c r="C795" s="34" t="s">
        <v>1269</v>
      </c>
      <c r="D795" s="13" t="str">
        <f t="shared" si="62"/>
        <v>513021********0469</v>
      </c>
      <c r="E795" s="13" t="str">
        <f t="shared" si="64"/>
        <v>女</v>
      </c>
      <c r="F795" s="17">
        <f ca="1" t="shared" si="65"/>
        <v>53</v>
      </c>
      <c r="G795" s="13" t="s">
        <v>475</v>
      </c>
      <c r="H795" s="20"/>
      <c r="I795" s="13" t="s">
        <v>21</v>
      </c>
      <c r="J795" s="13" t="s">
        <v>973</v>
      </c>
      <c r="K795" s="13"/>
      <c r="L795" s="17"/>
      <c r="M795" s="13" t="s">
        <v>416</v>
      </c>
      <c r="N795" s="17" t="s">
        <v>34</v>
      </c>
      <c r="O795" s="13"/>
      <c r="P795" s="13"/>
    </row>
    <row r="796" ht="15.6" spans="1:16">
      <c r="A796" s="10">
        <v>793</v>
      </c>
      <c r="B796" s="34" t="s">
        <v>1270</v>
      </c>
      <c r="C796" s="34" t="s">
        <v>1271</v>
      </c>
      <c r="D796" s="13" t="str">
        <f t="shared" si="62"/>
        <v>511721********5720</v>
      </c>
      <c r="E796" s="13" t="str">
        <f t="shared" si="64"/>
        <v>女</v>
      </c>
      <c r="F796" s="17">
        <f ca="1" t="shared" si="65"/>
        <v>23</v>
      </c>
      <c r="G796" s="13" t="s">
        <v>780</v>
      </c>
      <c r="H796" s="20"/>
      <c r="I796" s="13" t="s">
        <v>21</v>
      </c>
      <c r="J796" s="13" t="s">
        <v>973</v>
      </c>
      <c r="K796" s="13"/>
      <c r="L796" s="17"/>
      <c r="M796" s="13" t="s">
        <v>416</v>
      </c>
      <c r="N796" s="17" t="s">
        <v>34</v>
      </c>
      <c r="O796" s="13"/>
      <c r="P796" s="13"/>
    </row>
    <row r="797" ht="15.6" spans="1:16">
      <c r="A797" s="10">
        <v>794</v>
      </c>
      <c r="B797" s="34" t="s">
        <v>1272</v>
      </c>
      <c r="C797" s="34" t="s">
        <v>1273</v>
      </c>
      <c r="D797" s="13" t="str">
        <f t="shared" si="62"/>
        <v>511721********572X</v>
      </c>
      <c r="E797" s="13" t="str">
        <f t="shared" si="64"/>
        <v>女</v>
      </c>
      <c r="F797" s="17">
        <f ca="1" t="shared" si="65"/>
        <v>12</v>
      </c>
      <c r="G797" s="13" t="s">
        <v>440</v>
      </c>
      <c r="H797" s="20"/>
      <c r="I797" s="13" t="s">
        <v>21</v>
      </c>
      <c r="J797" s="13" t="s">
        <v>973</v>
      </c>
      <c r="K797" s="13"/>
      <c r="L797" s="17"/>
      <c r="M797" s="13" t="s">
        <v>416</v>
      </c>
      <c r="N797" s="17" t="s">
        <v>34</v>
      </c>
      <c r="O797" s="13"/>
      <c r="P797" s="13"/>
    </row>
    <row r="798" ht="15.6" spans="1:16">
      <c r="A798" s="10">
        <v>795</v>
      </c>
      <c r="B798" s="34" t="s">
        <v>1274</v>
      </c>
      <c r="C798" s="34" t="s">
        <v>1275</v>
      </c>
      <c r="D798" s="13" t="str">
        <f t="shared" si="62"/>
        <v>511721********5746</v>
      </c>
      <c r="E798" s="13" t="str">
        <f t="shared" si="64"/>
        <v>女</v>
      </c>
      <c r="F798" s="17">
        <f ca="1" t="shared" si="65"/>
        <v>12</v>
      </c>
      <c r="G798" s="13" t="s">
        <v>440</v>
      </c>
      <c r="H798" s="20"/>
      <c r="I798" s="13" t="s">
        <v>21</v>
      </c>
      <c r="J798" s="13" t="s">
        <v>973</v>
      </c>
      <c r="K798" s="13"/>
      <c r="L798" s="17"/>
      <c r="M798" s="13" t="s">
        <v>416</v>
      </c>
      <c r="N798" s="17" t="s">
        <v>34</v>
      </c>
      <c r="O798" s="13"/>
      <c r="P798" s="13"/>
    </row>
    <row r="799" spans="1:16">
      <c r="A799" s="10">
        <v>796</v>
      </c>
      <c r="B799" s="13" t="s">
        <v>1276</v>
      </c>
      <c r="C799" s="13" t="str">
        <f>"513021196303130470"</f>
        <v>513021196303130470</v>
      </c>
      <c r="D799" s="13" t="str">
        <f t="shared" si="62"/>
        <v>513021********0470</v>
      </c>
      <c r="E799" s="13" t="str">
        <f t="shared" si="64"/>
        <v>男</v>
      </c>
      <c r="F799" s="17">
        <f ca="1" t="shared" si="65"/>
        <v>61</v>
      </c>
      <c r="G799" s="13" t="s">
        <v>20</v>
      </c>
      <c r="H799" s="18">
        <v>190</v>
      </c>
      <c r="I799" s="13" t="s">
        <v>21</v>
      </c>
      <c r="J799" s="13" t="s">
        <v>973</v>
      </c>
      <c r="K799" s="13"/>
      <c r="L799" s="17"/>
      <c r="M799" s="13" t="s">
        <v>416</v>
      </c>
      <c r="N799" s="17"/>
      <c r="O799" s="13" t="s">
        <v>417</v>
      </c>
      <c r="P799" s="13">
        <v>1</v>
      </c>
    </row>
    <row r="800" spans="1:16">
      <c r="A800" s="10">
        <v>797</v>
      </c>
      <c r="B800" s="13" t="s">
        <v>1277</v>
      </c>
      <c r="C800" s="13" t="str">
        <f>"513021193604150447"</f>
        <v>513021193604150447</v>
      </c>
      <c r="D800" s="13" t="str">
        <f t="shared" si="62"/>
        <v>513021********0447</v>
      </c>
      <c r="E800" s="13" t="str">
        <f t="shared" si="64"/>
        <v>女</v>
      </c>
      <c r="F800" s="17">
        <f ca="1" t="shared" si="65"/>
        <v>88</v>
      </c>
      <c r="G800" s="13" t="s">
        <v>20</v>
      </c>
      <c r="H800" s="18">
        <v>190</v>
      </c>
      <c r="I800" s="13" t="s">
        <v>21</v>
      </c>
      <c r="J800" s="13" t="s">
        <v>973</v>
      </c>
      <c r="K800" s="13"/>
      <c r="L800" s="17"/>
      <c r="M800" s="13" t="s">
        <v>416</v>
      </c>
      <c r="N800" s="17"/>
      <c r="O800" s="13" t="s">
        <v>417</v>
      </c>
      <c r="P800" s="13">
        <v>1</v>
      </c>
    </row>
    <row r="801" spans="1:16">
      <c r="A801" s="10">
        <v>798</v>
      </c>
      <c r="B801" s="13" t="s">
        <v>1278</v>
      </c>
      <c r="C801" s="13" t="str">
        <f>"513021193605190440"</f>
        <v>513021193605190440</v>
      </c>
      <c r="D801" s="13" t="str">
        <f t="shared" si="62"/>
        <v>513021********0440</v>
      </c>
      <c r="E801" s="13" t="str">
        <f t="shared" si="64"/>
        <v>女</v>
      </c>
      <c r="F801" s="17">
        <f ca="1" t="shared" si="65"/>
        <v>88</v>
      </c>
      <c r="G801" s="13" t="s">
        <v>20</v>
      </c>
      <c r="H801" s="18">
        <v>190</v>
      </c>
      <c r="I801" s="13" t="s">
        <v>21</v>
      </c>
      <c r="J801" s="13" t="s">
        <v>973</v>
      </c>
      <c r="K801" s="13"/>
      <c r="L801" s="17"/>
      <c r="M801" s="13" t="s">
        <v>416</v>
      </c>
      <c r="N801" s="17"/>
      <c r="O801" s="13" t="s">
        <v>417</v>
      </c>
      <c r="P801" s="13">
        <v>1</v>
      </c>
    </row>
    <row r="802" spans="1:16">
      <c r="A802" s="10">
        <v>799</v>
      </c>
      <c r="B802" s="13" t="s">
        <v>1279</v>
      </c>
      <c r="C802" s="13" t="str">
        <f>"513021196304130501"</f>
        <v>513021196304130501</v>
      </c>
      <c r="D802" s="13" t="str">
        <f t="shared" si="62"/>
        <v>513021********0501</v>
      </c>
      <c r="E802" s="13" t="str">
        <f t="shared" si="64"/>
        <v>女</v>
      </c>
      <c r="F802" s="17">
        <f ca="1" t="shared" si="65"/>
        <v>61</v>
      </c>
      <c r="G802" s="13" t="s">
        <v>20</v>
      </c>
      <c r="H802" s="18">
        <v>380</v>
      </c>
      <c r="I802" s="13" t="s">
        <v>21</v>
      </c>
      <c r="J802" s="13" t="s">
        <v>973</v>
      </c>
      <c r="K802" s="13"/>
      <c r="L802" s="17" t="str">
        <f>VLOOKUP(C802,[1]Sheet1!$B$2:$U$630,20,0)</f>
        <v>精神一级;</v>
      </c>
      <c r="M802" s="13" t="s">
        <v>416</v>
      </c>
      <c r="N802" s="17" t="s">
        <v>34</v>
      </c>
      <c r="O802" s="13"/>
      <c r="P802" s="13">
        <v>3</v>
      </c>
    </row>
    <row r="803" ht="15.6" spans="1:16">
      <c r="A803" s="10">
        <v>800</v>
      </c>
      <c r="B803" s="34" t="s">
        <v>1280</v>
      </c>
      <c r="C803" s="34" t="s">
        <v>1281</v>
      </c>
      <c r="D803" s="13" t="str">
        <f t="shared" si="62"/>
        <v>513021********0452</v>
      </c>
      <c r="E803" s="13" t="str">
        <f t="shared" si="64"/>
        <v>男</v>
      </c>
      <c r="F803" s="17">
        <f ca="1" t="shared" si="65"/>
        <v>71</v>
      </c>
      <c r="G803" s="13" t="s">
        <v>37</v>
      </c>
      <c r="H803" s="20"/>
      <c r="I803" s="13" t="s">
        <v>21</v>
      </c>
      <c r="J803" s="13" t="s">
        <v>973</v>
      </c>
      <c r="K803" s="13"/>
      <c r="L803" s="17"/>
      <c r="M803" s="13" t="s">
        <v>416</v>
      </c>
      <c r="N803" s="17" t="s">
        <v>34</v>
      </c>
      <c r="O803" s="13"/>
      <c r="P803" s="13"/>
    </row>
    <row r="804" ht="15.6" spans="1:16">
      <c r="A804" s="10">
        <v>801</v>
      </c>
      <c r="B804" s="34" t="s">
        <v>1282</v>
      </c>
      <c r="C804" s="34" t="s">
        <v>1283</v>
      </c>
      <c r="D804" s="13" t="str">
        <f t="shared" si="62"/>
        <v>513021********5729</v>
      </c>
      <c r="E804" s="13" t="str">
        <f t="shared" si="64"/>
        <v>女</v>
      </c>
      <c r="F804" s="17">
        <f ca="1" t="shared" si="65"/>
        <v>24</v>
      </c>
      <c r="G804" s="13" t="s">
        <v>475</v>
      </c>
      <c r="H804" s="20"/>
      <c r="I804" s="13" t="s">
        <v>21</v>
      </c>
      <c r="J804" s="13" t="s">
        <v>973</v>
      </c>
      <c r="K804" s="13"/>
      <c r="L804" s="17"/>
      <c r="M804" s="13" t="s">
        <v>416</v>
      </c>
      <c r="N804" s="17" t="s">
        <v>34</v>
      </c>
      <c r="O804" s="13"/>
      <c r="P804" s="13"/>
    </row>
    <row r="805" spans="1:16">
      <c r="A805" s="10">
        <v>802</v>
      </c>
      <c r="B805" s="13" t="s">
        <v>1284</v>
      </c>
      <c r="C805" s="13" t="str">
        <f>"513021194207090457"</f>
        <v>513021194207090457</v>
      </c>
      <c r="D805" s="13" t="str">
        <f t="shared" si="62"/>
        <v>513021********0457</v>
      </c>
      <c r="E805" s="13" t="str">
        <f t="shared" si="64"/>
        <v>男</v>
      </c>
      <c r="F805" s="17">
        <f ca="1" t="shared" ref="F805:F844" si="66">YEAR(TODAY())-MID(C805,7,4)</f>
        <v>82</v>
      </c>
      <c r="G805" s="13" t="s">
        <v>20</v>
      </c>
      <c r="H805" s="18">
        <v>380</v>
      </c>
      <c r="I805" s="13" t="s">
        <v>21</v>
      </c>
      <c r="J805" s="13" t="s">
        <v>973</v>
      </c>
      <c r="K805" s="13"/>
      <c r="L805" s="17" t="str">
        <f>VLOOKUP(C805,[1]Sheet1!$B$2:$U$630,20,0)</f>
        <v>肢体二级;</v>
      </c>
      <c r="M805" s="13" t="s">
        <v>416</v>
      </c>
      <c r="N805" s="17"/>
      <c r="O805" s="13"/>
      <c r="P805" s="13">
        <v>2</v>
      </c>
    </row>
    <row r="806" ht="15.6" spans="1:16">
      <c r="A806" s="10">
        <v>803</v>
      </c>
      <c r="B806" s="34" t="s">
        <v>1285</v>
      </c>
      <c r="C806" s="34" t="s">
        <v>1286</v>
      </c>
      <c r="D806" s="13" t="str">
        <f t="shared" si="62"/>
        <v>513021********0445</v>
      </c>
      <c r="E806" s="13" t="str">
        <f t="shared" si="64"/>
        <v>女</v>
      </c>
      <c r="F806" s="17">
        <f ca="1" t="shared" si="66"/>
        <v>78</v>
      </c>
      <c r="G806" s="13" t="s">
        <v>37</v>
      </c>
      <c r="H806" s="20"/>
      <c r="I806" s="13" t="s">
        <v>21</v>
      </c>
      <c r="J806" s="13" t="s">
        <v>973</v>
      </c>
      <c r="K806" s="13"/>
      <c r="L806" s="17"/>
      <c r="M806" s="13" t="s">
        <v>416</v>
      </c>
      <c r="N806" s="17"/>
      <c r="O806" s="13"/>
      <c r="P806" s="13"/>
    </row>
    <row r="807" spans="1:16">
      <c r="A807" s="10">
        <v>804</v>
      </c>
      <c r="B807" s="13" t="s">
        <v>1287</v>
      </c>
      <c r="C807" s="13" t="s">
        <v>1288</v>
      </c>
      <c r="D807" s="13" t="str">
        <f t="shared" si="62"/>
        <v>513021********045X</v>
      </c>
      <c r="E807" s="13" t="str">
        <f t="shared" si="64"/>
        <v>男</v>
      </c>
      <c r="F807" s="17">
        <f ca="1" t="shared" si="66"/>
        <v>86</v>
      </c>
      <c r="G807" s="13" t="s">
        <v>20</v>
      </c>
      <c r="H807" s="18">
        <v>380</v>
      </c>
      <c r="I807" s="13" t="s">
        <v>21</v>
      </c>
      <c r="J807" s="13" t="s">
        <v>973</v>
      </c>
      <c r="K807" s="13"/>
      <c r="L807" s="17" t="str">
        <f>VLOOKUP(C807,[1]Sheet1!$B$2:$U$630,20,0)</f>
        <v>智力三级;</v>
      </c>
      <c r="M807" s="13" t="s">
        <v>416</v>
      </c>
      <c r="N807" s="17" t="s">
        <v>34</v>
      </c>
      <c r="O807" s="13"/>
      <c r="P807" s="13">
        <v>2</v>
      </c>
    </row>
    <row r="808" ht="15.6" spans="1:16">
      <c r="A808" s="10">
        <v>805</v>
      </c>
      <c r="B808" s="34" t="s">
        <v>1289</v>
      </c>
      <c r="C808" s="34" t="s">
        <v>1290</v>
      </c>
      <c r="D808" s="13" t="str">
        <f t="shared" si="62"/>
        <v>513021********0444</v>
      </c>
      <c r="E808" s="13" t="str">
        <f t="shared" si="64"/>
        <v>女</v>
      </c>
      <c r="F808" s="17">
        <f ca="1" t="shared" si="66"/>
        <v>83</v>
      </c>
      <c r="G808" s="13" t="s">
        <v>37</v>
      </c>
      <c r="H808" s="20"/>
      <c r="I808" s="13" t="s">
        <v>21</v>
      </c>
      <c r="J808" s="13" t="s">
        <v>973</v>
      </c>
      <c r="K808" s="13"/>
      <c r="L808" s="17" t="str">
        <f>VLOOKUP(C808,[1]Sheet1!$B$2:$U$630,20,0)</f>
        <v>视力三级;</v>
      </c>
      <c r="M808" s="13" t="s">
        <v>416</v>
      </c>
      <c r="N808" s="17" t="s">
        <v>34</v>
      </c>
      <c r="O808" s="13"/>
      <c r="P808" s="13"/>
    </row>
    <row r="809" spans="1:16">
      <c r="A809" s="10">
        <v>806</v>
      </c>
      <c r="B809" s="13" t="s">
        <v>1291</v>
      </c>
      <c r="C809" s="13" t="str">
        <f>"513021193911190449"</f>
        <v>513021193911190449</v>
      </c>
      <c r="D809" s="13" t="str">
        <f t="shared" si="62"/>
        <v>513021********0449</v>
      </c>
      <c r="E809" s="13" t="str">
        <f t="shared" si="64"/>
        <v>女</v>
      </c>
      <c r="F809" s="17">
        <f ca="1" t="shared" si="66"/>
        <v>85</v>
      </c>
      <c r="G809" s="13" t="s">
        <v>20</v>
      </c>
      <c r="H809" s="18">
        <v>190</v>
      </c>
      <c r="I809" s="13" t="s">
        <v>21</v>
      </c>
      <c r="J809" s="13" t="s">
        <v>973</v>
      </c>
      <c r="K809" s="13"/>
      <c r="L809" s="17"/>
      <c r="M809" s="13" t="s">
        <v>416</v>
      </c>
      <c r="N809" s="17"/>
      <c r="O809" s="13" t="s">
        <v>417</v>
      </c>
      <c r="P809" s="13">
        <v>1</v>
      </c>
    </row>
    <row r="810" spans="1:16">
      <c r="A810" s="10">
        <v>807</v>
      </c>
      <c r="B810" s="13" t="s">
        <v>1292</v>
      </c>
      <c r="C810" s="13" t="str">
        <f>"513021195112020469"</f>
        <v>513021195112020469</v>
      </c>
      <c r="D810" s="13" t="str">
        <f t="shared" si="62"/>
        <v>513021********0469</v>
      </c>
      <c r="E810" s="13" t="str">
        <f t="shared" si="64"/>
        <v>女</v>
      </c>
      <c r="F810" s="17">
        <f ca="1" t="shared" si="66"/>
        <v>73</v>
      </c>
      <c r="G810" s="13" t="s">
        <v>20</v>
      </c>
      <c r="H810" s="18">
        <v>380</v>
      </c>
      <c r="I810" s="13" t="s">
        <v>21</v>
      </c>
      <c r="J810" s="13" t="s">
        <v>973</v>
      </c>
      <c r="K810" s="13"/>
      <c r="L810" s="17"/>
      <c r="M810" s="13" t="s">
        <v>416</v>
      </c>
      <c r="N810" s="17" t="s">
        <v>34</v>
      </c>
      <c r="O810" s="13"/>
      <c r="P810" s="13">
        <v>5</v>
      </c>
    </row>
    <row r="811" ht="15.6" spans="1:16">
      <c r="A811" s="10">
        <v>808</v>
      </c>
      <c r="B811" s="34" t="s">
        <v>1293</v>
      </c>
      <c r="C811" s="34" t="s">
        <v>1294</v>
      </c>
      <c r="D811" s="13" t="str">
        <f t="shared" si="62"/>
        <v>513021********0451</v>
      </c>
      <c r="E811" s="13" t="str">
        <f t="shared" si="64"/>
        <v>男</v>
      </c>
      <c r="F811" s="17">
        <f ca="1" t="shared" si="66"/>
        <v>74</v>
      </c>
      <c r="G811" s="13" t="s">
        <v>37</v>
      </c>
      <c r="H811" s="20"/>
      <c r="I811" s="13" t="s">
        <v>21</v>
      </c>
      <c r="J811" s="13" t="s">
        <v>973</v>
      </c>
      <c r="K811" s="13"/>
      <c r="L811" s="17"/>
      <c r="M811" s="13" t="s">
        <v>416</v>
      </c>
      <c r="N811" s="17" t="s">
        <v>34</v>
      </c>
      <c r="O811" s="13"/>
      <c r="P811" s="13"/>
    </row>
    <row r="812" ht="15.6" spans="1:16">
      <c r="A812" s="10">
        <v>809</v>
      </c>
      <c r="B812" s="34" t="s">
        <v>1295</v>
      </c>
      <c r="C812" s="34" t="s">
        <v>1296</v>
      </c>
      <c r="D812" s="13" t="str">
        <f t="shared" si="62"/>
        <v>513021********714X</v>
      </c>
      <c r="E812" s="13" t="str">
        <f t="shared" si="64"/>
        <v>女</v>
      </c>
      <c r="F812" s="17">
        <f ca="1" t="shared" si="66"/>
        <v>48</v>
      </c>
      <c r="G812" s="13" t="s">
        <v>510</v>
      </c>
      <c r="H812" s="20"/>
      <c r="I812" s="13" t="s">
        <v>21</v>
      </c>
      <c r="J812" s="13" t="s">
        <v>973</v>
      </c>
      <c r="K812" s="13"/>
      <c r="L812" s="17"/>
      <c r="M812" s="13" t="s">
        <v>416</v>
      </c>
      <c r="N812" s="17" t="s">
        <v>34</v>
      </c>
      <c r="O812" s="13"/>
      <c r="P812" s="13"/>
    </row>
    <row r="813" ht="15.6" spans="1:16">
      <c r="A813" s="10">
        <v>810</v>
      </c>
      <c r="B813" s="34" t="s">
        <v>1297</v>
      </c>
      <c r="C813" s="34" t="s">
        <v>1298</v>
      </c>
      <c r="D813" s="13" t="str">
        <f t="shared" si="62"/>
        <v>513021********571X</v>
      </c>
      <c r="E813" s="13" t="str">
        <f t="shared" si="64"/>
        <v>男</v>
      </c>
      <c r="F813" s="17">
        <f ca="1" t="shared" si="66"/>
        <v>21</v>
      </c>
      <c r="G813" s="13" t="s">
        <v>440</v>
      </c>
      <c r="H813" s="20"/>
      <c r="I813" s="13" t="s">
        <v>21</v>
      </c>
      <c r="J813" s="13" t="s">
        <v>973</v>
      </c>
      <c r="K813" s="13"/>
      <c r="L813" s="17"/>
      <c r="M813" s="13" t="s">
        <v>416</v>
      </c>
      <c r="N813" s="17" t="s">
        <v>34</v>
      </c>
      <c r="O813" s="13"/>
      <c r="P813" s="13"/>
    </row>
    <row r="814" ht="15.6" spans="1:16">
      <c r="A814" s="10">
        <v>811</v>
      </c>
      <c r="B814" s="34" t="s">
        <v>1299</v>
      </c>
      <c r="C814" s="34" t="s">
        <v>1300</v>
      </c>
      <c r="D814" s="13" t="str">
        <f t="shared" si="62"/>
        <v>513021********5721</v>
      </c>
      <c r="E814" s="13" t="str">
        <f t="shared" si="64"/>
        <v>女</v>
      </c>
      <c r="F814" s="17">
        <f ca="1" t="shared" si="66"/>
        <v>24</v>
      </c>
      <c r="G814" s="13" t="s">
        <v>440</v>
      </c>
      <c r="H814" s="20"/>
      <c r="I814" s="13" t="s">
        <v>21</v>
      </c>
      <c r="J814" s="13" t="s">
        <v>973</v>
      </c>
      <c r="K814" s="13"/>
      <c r="L814" s="17"/>
      <c r="M814" s="13" t="s">
        <v>416</v>
      </c>
      <c r="N814" s="17" t="s">
        <v>34</v>
      </c>
      <c r="O814" s="13"/>
      <c r="P814" s="13"/>
    </row>
    <row r="815" spans="1:16">
      <c r="A815" s="10">
        <v>812</v>
      </c>
      <c r="B815" s="13" t="s">
        <v>1301</v>
      </c>
      <c r="C815" s="13" t="str">
        <f>"513021194504230452"</f>
        <v>513021194504230452</v>
      </c>
      <c r="D815" s="13" t="str">
        <f t="shared" si="62"/>
        <v>513021********0452</v>
      </c>
      <c r="E815" s="13" t="str">
        <f t="shared" ref="E815:E824" si="67">IF(MOD(MID(C815,17,1),2)=1,"男","女")</f>
        <v>男</v>
      </c>
      <c r="F815" s="17">
        <f ca="1" t="shared" si="66"/>
        <v>79</v>
      </c>
      <c r="G815" s="13" t="s">
        <v>20</v>
      </c>
      <c r="H815" s="18">
        <v>380</v>
      </c>
      <c r="I815" s="13" t="s">
        <v>21</v>
      </c>
      <c r="J815" s="13" t="s">
        <v>973</v>
      </c>
      <c r="K815" s="13"/>
      <c r="L815" s="17"/>
      <c r="M815" s="13" t="s">
        <v>416</v>
      </c>
      <c r="N815" s="17"/>
      <c r="O815" s="13"/>
      <c r="P815" s="13">
        <v>2</v>
      </c>
    </row>
    <row r="816" ht="15.6" spans="1:16">
      <c r="A816" s="10">
        <v>813</v>
      </c>
      <c r="B816" s="34" t="s">
        <v>1302</v>
      </c>
      <c r="C816" s="34" t="s">
        <v>1303</v>
      </c>
      <c r="D816" s="13" t="str">
        <f t="shared" si="62"/>
        <v>513021********0445</v>
      </c>
      <c r="E816" s="13" t="str">
        <f t="shared" si="67"/>
        <v>女</v>
      </c>
      <c r="F816" s="17">
        <f ca="1" t="shared" si="66"/>
        <v>76</v>
      </c>
      <c r="G816" s="13" t="s">
        <v>37</v>
      </c>
      <c r="H816" s="20"/>
      <c r="I816" s="13" t="s">
        <v>21</v>
      </c>
      <c r="J816" s="13" t="s">
        <v>973</v>
      </c>
      <c r="K816" s="13"/>
      <c r="L816" s="17"/>
      <c r="M816" s="13" t="s">
        <v>416</v>
      </c>
      <c r="N816" s="17"/>
      <c r="O816" s="13"/>
      <c r="P816" s="13"/>
    </row>
    <row r="817" spans="1:16">
      <c r="A817" s="10">
        <v>814</v>
      </c>
      <c r="B817" s="13" t="s">
        <v>667</v>
      </c>
      <c r="C817" s="13" t="str">
        <f>"513021194210180445"</f>
        <v>513021194210180445</v>
      </c>
      <c r="D817" s="13" t="str">
        <f t="shared" si="62"/>
        <v>513021********0445</v>
      </c>
      <c r="E817" s="13" t="str">
        <f t="shared" si="67"/>
        <v>女</v>
      </c>
      <c r="F817" s="17">
        <f ca="1" t="shared" si="66"/>
        <v>82</v>
      </c>
      <c r="G817" s="13" t="s">
        <v>20</v>
      </c>
      <c r="H817" s="18">
        <v>380</v>
      </c>
      <c r="I817" s="13" t="s">
        <v>21</v>
      </c>
      <c r="J817" s="13" t="s">
        <v>973</v>
      </c>
      <c r="K817" s="13"/>
      <c r="L817" s="17"/>
      <c r="M817" s="13" t="s">
        <v>416</v>
      </c>
      <c r="N817" s="17"/>
      <c r="O817" s="13"/>
      <c r="P817" s="13">
        <v>2</v>
      </c>
    </row>
    <row r="818" ht="15.6" spans="1:16">
      <c r="A818" s="10">
        <v>815</v>
      </c>
      <c r="B818" s="34" t="s">
        <v>1304</v>
      </c>
      <c r="C818" s="34" t="s">
        <v>1305</v>
      </c>
      <c r="D818" s="13" t="str">
        <f t="shared" si="62"/>
        <v>513021********045X</v>
      </c>
      <c r="E818" s="13" t="str">
        <f t="shared" si="67"/>
        <v>男</v>
      </c>
      <c r="F818" s="17">
        <f ca="1" t="shared" si="66"/>
        <v>85</v>
      </c>
      <c r="G818" s="13" t="s">
        <v>37</v>
      </c>
      <c r="H818" s="20"/>
      <c r="I818" s="13" t="s">
        <v>21</v>
      </c>
      <c r="J818" s="13" t="s">
        <v>973</v>
      </c>
      <c r="K818" s="13"/>
      <c r="L818" s="17"/>
      <c r="M818" s="13" t="s">
        <v>416</v>
      </c>
      <c r="N818" s="17"/>
      <c r="O818" s="13"/>
      <c r="P818" s="13"/>
    </row>
    <row r="819" spans="1:16">
      <c r="A819" s="10">
        <v>816</v>
      </c>
      <c r="B819" s="13" t="s">
        <v>1306</v>
      </c>
      <c r="C819" s="13" t="str">
        <f>"513021194501180445"</f>
        <v>513021194501180445</v>
      </c>
      <c r="D819" s="13" t="str">
        <f t="shared" si="62"/>
        <v>513021********0445</v>
      </c>
      <c r="E819" s="13" t="str">
        <f t="shared" si="67"/>
        <v>女</v>
      </c>
      <c r="F819" s="17">
        <f ca="1" t="shared" si="66"/>
        <v>79</v>
      </c>
      <c r="G819" s="13" t="s">
        <v>20</v>
      </c>
      <c r="H819" s="18">
        <v>380</v>
      </c>
      <c r="I819" s="13" t="s">
        <v>21</v>
      </c>
      <c r="J819" s="13" t="s">
        <v>973</v>
      </c>
      <c r="K819" s="13"/>
      <c r="L819" s="17"/>
      <c r="M819" s="13" t="s">
        <v>416</v>
      </c>
      <c r="N819" s="17"/>
      <c r="O819" s="13"/>
      <c r="P819" s="13">
        <v>2</v>
      </c>
    </row>
    <row r="820" ht="15.6" spans="1:16">
      <c r="A820" s="10">
        <v>817</v>
      </c>
      <c r="B820" s="34" t="s">
        <v>1307</v>
      </c>
      <c r="C820" s="34" t="s">
        <v>1308</v>
      </c>
      <c r="D820" s="13" t="str">
        <f t="shared" si="62"/>
        <v>513021********0450</v>
      </c>
      <c r="E820" s="13" t="str">
        <f t="shared" si="67"/>
        <v>男</v>
      </c>
      <c r="F820" s="17">
        <f ca="1" t="shared" si="66"/>
        <v>77</v>
      </c>
      <c r="G820" s="13" t="s">
        <v>37</v>
      </c>
      <c r="H820" s="20"/>
      <c r="I820" s="13" t="s">
        <v>21</v>
      </c>
      <c r="J820" s="13" t="s">
        <v>973</v>
      </c>
      <c r="K820" s="13"/>
      <c r="L820" s="17"/>
      <c r="M820" s="13" t="s">
        <v>416</v>
      </c>
      <c r="N820" s="17"/>
      <c r="O820" s="13"/>
      <c r="P820" s="13"/>
    </row>
    <row r="821" spans="1:16">
      <c r="A821" s="10">
        <v>818</v>
      </c>
      <c r="B821" s="13" t="s">
        <v>1309</v>
      </c>
      <c r="C821" s="13" t="str">
        <f>"513021194604280457"</f>
        <v>513021194604280457</v>
      </c>
      <c r="D821" s="13" t="str">
        <f t="shared" si="62"/>
        <v>513021********0457</v>
      </c>
      <c r="E821" s="13" t="str">
        <f t="shared" si="67"/>
        <v>男</v>
      </c>
      <c r="F821" s="17">
        <f ca="1" t="shared" si="66"/>
        <v>78</v>
      </c>
      <c r="G821" s="13" t="s">
        <v>20</v>
      </c>
      <c r="H821" s="18">
        <v>380</v>
      </c>
      <c r="I821" s="13" t="s">
        <v>21</v>
      </c>
      <c r="J821" s="13" t="s">
        <v>973</v>
      </c>
      <c r="K821" s="13"/>
      <c r="L821" s="17"/>
      <c r="M821" s="13" t="s">
        <v>416</v>
      </c>
      <c r="N821" s="17"/>
      <c r="O821" s="13"/>
      <c r="P821" s="13">
        <v>2</v>
      </c>
    </row>
    <row r="822" ht="15.6" spans="1:16">
      <c r="A822" s="10">
        <v>819</v>
      </c>
      <c r="B822" s="34" t="s">
        <v>1310</v>
      </c>
      <c r="C822" s="34" t="s">
        <v>1311</v>
      </c>
      <c r="D822" s="13" t="str">
        <f t="shared" si="62"/>
        <v>513021********0440</v>
      </c>
      <c r="E822" s="13" t="str">
        <f t="shared" si="67"/>
        <v>女</v>
      </c>
      <c r="F822" s="17">
        <f ca="1" t="shared" si="66"/>
        <v>79</v>
      </c>
      <c r="G822" s="13" t="s">
        <v>37</v>
      </c>
      <c r="H822" s="20"/>
      <c r="I822" s="13" t="s">
        <v>21</v>
      </c>
      <c r="J822" s="13" t="s">
        <v>973</v>
      </c>
      <c r="K822" s="13"/>
      <c r="L822" s="17"/>
      <c r="M822" s="13" t="s">
        <v>416</v>
      </c>
      <c r="N822" s="17"/>
      <c r="O822" s="13"/>
      <c r="P822" s="13"/>
    </row>
    <row r="823" spans="1:16">
      <c r="A823" s="10">
        <v>820</v>
      </c>
      <c r="B823" s="13" t="s">
        <v>1312</v>
      </c>
      <c r="C823" s="13" t="str">
        <f>"513021194212070450"</f>
        <v>513021194212070450</v>
      </c>
      <c r="D823" s="13" t="str">
        <f t="shared" si="62"/>
        <v>513021********0450</v>
      </c>
      <c r="E823" s="13" t="str">
        <f t="shared" si="67"/>
        <v>男</v>
      </c>
      <c r="F823" s="17">
        <f ca="1" t="shared" si="66"/>
        <v>82</v>
      </c>
      <c r="G823" s="13" t="s">
        <v>20</v>
      </c>
      <c r="H823" s="18">
        <v>190</v>
      </c>
      <c r="I823" s="13" t="s">
        <v>21</v>
      </c>
      <c r="J823" s="13" t="s">
        <v>973</v>
      </c>
      <c r="K823" s="13"/>
      <c r="L823" s="17"/>
      <c r="M823" s="13" t="s">
        <v>416</v>
      </c>
      <c r="N823" s="17"/>
      <c r="O823" s="13" t="s">
        <v>417</v>
      </c>
      <c r="P823" s="13">
        <v>1</v>
      </c>
    </row>
    <row r="824" spans="1:16">
      <c r="A824" s="10">
        <v>821</v>
      </c>
      <c r="B824" s="13" t="s">
        <v>1313</v>
      </c>
      <c r="C824" s="13" t="str">
        <f>"513021195209140459"</f>
        <v>513021195209140459</v>
      </c>
      <c r="D824" s="13" t="str">
        <f t="shared" si="62"/>
        <v>513021********0459</v>
      </c>
      <c r="E824" s="13" t="str">
        <f t="shared" si="67"/>
        <v>男</v>
      </c>
      <c r="F824" s="17">
        <f ca="1" t="shared" si="66"/>
        <v>72</v>
      </c>
      <c r="G824" s="13" t="s">
        <v>20</v>
      </c>
      <c r="H824" s="18">
        <v>380</v>
      </c>
      <c r="I824" s="13" t="s">
        <v>21</v>
      </c>
      <c r="J824" s="13" t="s">
        <v>973</v>
      </c>
      <c r="K824" s="13"/>
      <c r="L824" s="17"/>
      <c r="M824" s="13" t="s">
        <v>416</v>
      </c>
      <c r="N824" s="17"/>
      <c r="O824" s="13"/>
      <c r="P824" s="13">
        <v>2</v>
      </c>
    </row>
    <row r="825" ht="15.6" spans="1:16">
      <c r="A825" s="10">
        <v>822</v>
      </c>
      <c r="B825" s="34" t="s">
        <v>1314</v>
      </c>
      <c r="C825" s="34" t="s">
        <v>1315</v>
      </c>
      <c r="D825" s="13" t="str">
        <f t="shared" si="62"/>
        <v>513021********0440</v>
      </c>
      <c r="E825" s="13" t="s">
        <v>19</v>
      </c>
      <c r="F825" s="17">
        <f ca="1" t="shared" si="66"/>
        <v>68</v>
      </c>
      <c r="G825" s="13" t="s">
        <v>37</v>
      </c>
      <c r="H825" s="20"/>
      <c r="I825" s="13" t="s">
        <v>21</v>
      </c>
      <c r="J825" s="13" t="s">
        <v>973</v>
      </c>
      <c r="K825" s="13"/>
      <c r="L825" s="17"/>
      <c r="M825" s="13" t="s">
        <v>416</v>
      </c>
      <c r="N825" s="17"/>
      <c r="O825" s="13"/>
      <c r="P825" s="13"/>
    </row>
    <row r="826" spans="1:16">
      <c r="A826" s="10">
        <v>823</v>
      </c>
      <c r="B826" s="13" t="s">
        <v>1316</v>
      </c>
      <c r="C826" s="13" t="str">
        <f>"513021194807100452"</f>
        <v>513021194807100452</v>
      </c>
      <c r="D826" s="13" t="str">
        <f t="shared" si="62"/>
        <v>513021********0452</v>
      </c>
      <c r="E826" s="13" t="str">
        <f t="shared" ref="E826:E834" si="68">IF(MOD(MID(C826,17,1),2)=1,"男","女")</f>
        <v>男</v>
      </c>
      <c r="F826" s="17">
        <f ca="1" t="shared" si="66"/>
        <v>76</v>
      </c>
      <c r="G826" s="13" t="s">
        <v>20</v>
      </c>
      <c r="H826" s="18">
        <v>190</v>
      </c>
      <c r="I826" s="13" t="s">
        <v>21</v>
      </c>
      <c r="J826" s="13" t="s">
        <v>973</v>
      </c>
      <c r="K826" s="13"/>
      <c r="L826" s="17"/>
      <c r="M826" s="13" t="s">
        <v>416</v>
      </c>
      <c r="N826" s="17"/>
      <c r="O826" s="13" t="s">
        <v>417</v>
      </c>
      <c r="P826" s="13">
        <v>1</v>
      </c>
    </row>
    <row r="827" ht="15.6" spans="1:16">
      <c r="A827" s="10">
        <v>824</v>
      </c>
      <c r="B827" s="34" t="s">
        <v>1317</v>
      </c>
      <c r="C827" s="34" t="s">
        <v>1318</v>
      </c>
      <c r="D827" s="13" t="str">
        <f t="shared" si="62"/>
        <v>513021********0445</v>
      </c>
      <c r="E827" s="13" t="str">
        <f t="shared" si="68"/>
        <v>女</v>
      </c>
      <c r="F827" s="17">
        <f ca="1" t="shared" si="66"/>
        <v>74</v>
      </c>
      <c r="G827" s="13" t="s">
        <v>20</v>
      </c>
      <c r="H827" s="18">
        <v>190</v>
      </c>
      <c r="I827" s="13" t="s">
        <v>21</v>
      </c>
      <c r="J827" s="13" t="s">
        <v>973</v>
      </c>
      <c r="K827" s="13"/>
      <c r="L827" s="17"/>
      <c r="M827" s="13" t="s">
        <v>416</v>
      </c>
      <c r="N827" s="17" t="s">
        <v>34</v>
      </c>
      <c r="O827" s="13"/>
      <c r="P827" s="13">
        <v>1</v>
      </c>
    </row>
    <row r="828" spans="1:16">
      <c r="A828" s="10">
        <v>825</v>
      </c>
      <c r="B828" s="13" t="s">
        <v>1319</v>
      </c>
      <c r="C828" s="13" t="str">
        <f>"513021195008210449"</f>
        <v>513021195008210449</v>
      </c>
      <c r="D828" s="13" t="str">
        <f t="shared" si="62"/>
        <v>513021********0449</v>
      </c>
      <c r="E828" s="13" t="str">
        <f t="shared" si="68"/>
        <v>女</v>
      </c>
      <c r="F828" s="17">
        <f ca="1" t="shared" si="66"/>
        <v>74</v>
      </c>
      <c r="G828" s="13" t="s">
        <v>20</v>
      </c>
      <c r="H828" s="18">
        <v>190</v>
      </c>
      <c r="I828" s="13" t="s">
        <v>21</v>
      </c>
      <c r="J828" s="13" t="s">
        <v>973</v>
      </c>
      <c r="K828" s="13"/>
      <c r="L828" s="17"/>
      <c r="M828" s="13" t="s">
        <v>416</v>
      </c>
      <c r="N828" s="17"/>
      <c r="O828" s="13" t="s">
        <v>417</v>
      </c>
      <c r="P828" s="13">
        <v>1</v>
      </c>
    </row>
    <row r="829" spans="1:16">
      <c r="A829" s="10">
        <v>826</v>
      </c>
      <c r="B829" s="13" t="s">
        <v>1320</v>
      </c>
      <c r="C829" s="13" t="str">
        <f>"513021195212040459"</f>
        <v>513021195212040459</v>
      </c>
      <c r="D829" s="13" t="str">
        <f t="shared" si="62"/>
        <v>513021********0459</v>
      </c>
      <c r="E829" s="13" t="str">
        <f t="shared" si="68"/>
        <v>男</v>
      </c>
      <c r="F829" s="17">
        <f ca="1" t="shared" si="66"/>
        <v>72</v>
      </c>
      <c r="G829" s="13" t="s">
        <v>20</v>
      </c>
      <c r="H829" s="18">
        <v>190</v>
      </c>
      <c r="I829" s="13" t="s">
        <v>21</v>
      </c>
      <c r="J829" s="13" t="s">
        <v>973</v>
      </c>
      <c r="K829" s="13"/>
      <c r="L829" s="17"/>
      <c r="M829" s="13" t="s">
        <v>416</v>
      </c>
      <c r="N829" s="17"/>
      <c r="O829" s="13" t="s">
        <v>417</v>
      </c>
      <c r="P829" s="13">
        <v>1</v>
      </c>
    </row>
    <row r="830" spans="1:16">
      <c r="A830" s="10">
        <v>827</v>
      </c>
      <c r="B830" s="13" t="s">
        <v>1321</v>
      </c>
      <c r="C830" s="13" t="str">
        <f>"513021197304110548"</f>
        <v>513021197304110548</v>
      </c>
      <c r="D830" s="13" t="str">
        <f t="shared" si="62"/>
        <v>513021********0548</v>
      </c>
      <c r="E830" s="13" t="str">
        <f t="shared" si="68"/>
        <v>女</v>
      </c>
      <c r="F830" s="17">
        <f ca="1" t="shared" si="66"/>
        <v>51</v>
      </c>
      <c r="G830" s="13" t="s">
        <v>20</v>
      </c>
      <c r="H830" s="18">
        <v>190</v>
      </c>
      <c r="I830" s="13" t="s">
        <v>21</v>
      </c>
      <c r="J830" s="13" t="s">
        <v>973</v>
      </c>
      <c r="K830" s="13"/>
      <c r="L830" s="17" t="str">
        <f>VLOOKUP(C830,[1]Sheet1!$B$2:$U$630,20,0)</f>
        <v>肢体四级;</v>
      </c>
      <c r="M830" s="13" t="s">
        <v>416</v>
      </c>
      <c r="N830" s="17"/>
      <c r="O830" s="13" t="s">
        <v>417</v>
      </c>
      <c r="P830" s="13">
        <v>1</v>
      </c>
    </row>
    <row r="831" spans="1:16">
      <c r="A831" s="10">
        <v>828</v>
      </c>
      <c r="B831" s="13" t="s">
        <v>1322</v>
      </c>
      <c r="C831" s="13" t="str">
        <f>"513021195206050458"</f>
        <v>513021195206050458</v>
      </c>
      <c r="D831" s="13" t="str">
        <f t="shared" si="62"/>
        <v>513021********0458</v>
      </c>
      <c r="E831" s="13" t="str">
        <f t="shared" si="68"/>
        <v>男</v>
      </c>
      <c r="F831" s="17">
        <f ca="1" t="shared" si="66"/>
        <v>72</v>
      </c>
      <c r="G831" s="13" t="s">
        <v>20</v>
      </c>
      <c r="H831" s="18">
        <v>190</v>
      </c>
      <c r="I831" s="13" t="s">
        <v>21</v>
      </c>
      <c r="J831" s="13" t="s">
        <v>973</v>
      </c>
      <c r="K831" s="13"/>
      <c r="L831" s="17"/>
      <c r="M831" s="13" t="s">
        <v>416</v>
      </c>
      <c r="N831" s="17"/>
      <c r="O831" s="13" t="s">
        <v>417</v>
      </c>
      <c r="P831" s="13">
        <v>1</v>
      </c>
    </row>
    <row r="832" spans="1:16">
      <c r="A832" s="10">
        <v>829</v>
      </c>
      <c r="B832" s="13" t="s">
        <v>1323</v>
      </c>
      <c r="C832" s="13" t="str">
        <f>"513021194612020444"</f>
        <v>513021194612020444</v>
      </c>
      <c r="D832" s="13" t="str">
        <f t="shared" si="62"/>
        <v>513021********0444</v>
      </c>
      <c r="E832" s="13" t="str">
        <f t="shared" si="68"/>
        <v>女</v>
      </c>
      <c r="F832" s="17">
        <f ca="1" t="shared" si="66"/>
        <v>78</v>
      </c>
      <c r="G832" s="13" t="s">
        <v>20</v>
      </c>
      <c r="H832" s="18">
        <v>190</v>
      </c>
      <c r="I832" s="13" t="s">
        <v>21</v>
      </c>
      <c r="J832" s="13" t="s">
        <v>973</v>
      </c>
      <c r="K832" s="13"/>
      <c r="L832" s="17"/>
      <c r="M832" s="13" t="s">
        <v>416</v>
      </c>
      <c r="N832" s="17" t="s">
        <v>34</v>
      </c>
      <c r="O832" s="13" t="s">
        <v>417</v>
      </c>
      <c r="P832" s="13">
        <v>1</v>
      </c>
    </row>
    <row r="833" spans="1:16">
      <c r="A833" s="10">
        <v>830</v>
      </c>
      <c r="B833" s="13" t="s">
        <v>1324</v>
      </c>
      <c r="C833" s="13" t="str">
        <f>"513021194603220452"</f>
        <v>513021194603220452</v>
      </c>
      <c r="D833" s="13" t="str">
        <f t="shared" si="62"/>
        <v>513021********0452</v>
      </c>
      <c r="E833" s="13" t="str">
        <f t="shared" si="68"/>
        <v>男</v>
      </c>
      <c r="F833" s="17">
        <f ca="1" t="shared" si="66"/>
        <v>78</v>
      </c>
      <c r="G833" s="13" t="s">
        <v>20</v>
      </c>
      <c r="H833" s="18">
        <v>190</v>
      </c>
      <c r="I833" s="13" t="s">
        <v>21</v>
      </c>
      <c r="J833" s="13" t="s">
        <v>973</v>
      </c>
      <c r="K833" s="13"/>
      <c r="L833" s="17"/>
      <c r="M833" s="13" t="s">
        <v>416</v>
      </c>
      <c r="N833" s="17"/>
      <c r="O833" s="13" t="s">
        <v>417</v>
      </c>
      <c r="P833" s="13">
        <v>1</v>
      </c>
    </row>
    <row r="834" spans="1:16">
      <c r="A834" s="10">
        <v>831</v>
      </c>
      <c r="B834" s="13" t="s">
        <v>1325</v>
      </c>
      <c r="C834" s="13" t="str">
        <f>"513021194701130450"</f>
        <v>513021194701130450</v>
      </c>
      <c r="D834" s="13" t="str">
        <f t="shared" si="62"/>
        <v>513021********0450</v>
      </c>
      <c r="E834" s="13" t="str">
        <f t="shared" si="68"/>
        <v>男</v>
      </c>
      <c r="F834" s="17">
        <f ca="1" t="shared" si="66"/>
        <v>77</v>
      </c>
      <c r="G834" s="13" t="s">
        <v>20</v>
      </c>
      <c r="H834" s="18">
        <v>190</v>
      </c>
      <c r="I834" s="13" t="s">
        <v>21</v>
      </c>
      <c r="J834" s="13" t="s">
        <v>973</v>
      </c>
      <c r="K834" s="13"/>
      <c r="L834" s="17"/>
      <c r="M834" s="13" t="s">
        <v>416</v>
      </c>
      <c r="N834" s="17"/>
      <c r="O834" s="13" t="s">
        <v>417</v>
      </c>
      <c r="P834" s="13">
        <v>1</v>
      </c>
    </row>
    <row r="835" spans="1:16">
      <c r="A835" s="10">
        <v>832</v>
      </c>
      <c r="B835" s="13" t="s">
        <v>1326</v>
      </c>
      <c r="C835" s="13" t="str">
        <f>"513021195709100445"</f>
        <v>513021195709100445</v>
      </c>
      <c r="D835" s="13" t="str">
        <f t="shared" si="62"/>
        <v>513021********0445</v>
      </c>
      <c r="E835" s="13" t="str">
        <f t="shared" ref="E835:E847" si="69">IF(MOD(MID(C835,17,1),2)=1,"男","女")</f>
        <v>女</v>
      </c>
      <c r="F835" s="17">
        <f ca="1" t="shared" si="66"/>
        <v>67</v>
      </c>
      <c r="G835" s="13" t="s">
        <v>20</v>
      </c>
      <c r="H835" s="18">
        <v>190</v>
      </c>
      <c r="I835" s="13" t="s">
        <v>21</v>
      </c>
      <c r="J835" s="13" t="s">
        <v>973</v>
      </c>
      <c r="K835" s="13"/>
      <c r="L835" s="17"/>
      <c r="M835" s="13" t="s">
        <v>416</v>
      </c>
      <c r="N835" s="17"/>
      <c r="O835" s="13" t="s">
        <v>417</v>
      </c>
      <c r="P835" s="13">
        <v>1</v>
      </c>
    </row>
    <row r="836" spans="1:16">
      <c r="A836" s="10">
        <v>833</v>
      </c>
      <c r="B836" s="13" t="s">
        <v>1327</v>
      </c>
      <c r="C836" s="13" t="str">
        <f>"513021195510220490"</f>
        <v>513021195510220490</v>
      </c>
      <c r="D836" s="13" t="str">
        <f t="shared" si="62"/>
        <v>513021********0490</v>
      </c>
      <c r="E836" s="13" t="str">
        <f t="shared" si="69"/>
        <v>男</v>
      </c>
      <c r="F836" s="17">
        <f ca="1" t="shared" si="66"/>
        <v>69</v>
      </c>
      <c r="G836" s="13" t="s">
        <v>20</v>
      </c>
      <c r="H836" s="18">
        <v>190</v>
      </c>
      <c r="I836" s="13" t="s">
        <v>21</v>
      </c>
      <c r="J836" s="13" t="s">
        <v>973</v>
      </c>
      <c r="K836" s="13"/>
      <c r="L836" s="17"/>
      <c r="M836" s="13" t="s">
        <v>416</v>
      </c>
      <c r="N836" s="17"/>
      <c r="O836" s="13" t="s">
        <v>417</v>
      </c>
      <c r="P836" s="13">
        <v>1</v>
      </c>
    </row>
    <row r="837" spans="1:16">
      <c r="A837" s="10">
        <v>834</v>
      </c>
      <c r="B837" s="13" t="s">
        <v>1328</v>
      </c>
      <c r="C837" s="13" t="s">
        <v>1329</v>
      </c>
      <c r="D837" s="13" t="str">
        <f t="shared" ref="D837:D900" si="70">REPLACE(C837,7,8,"********")</f>
        <v>513021********045X</v>
      </c>
      <c r="E837" s="13" t="str">
        <f t="shared" si="69"/>
        <v>男</v>
      </c>
      <c r="F837" s="17">
        <f ca="1" t="shared" si="66"/>
        <v>71</v>
      </c>
      <c r="G837" s="13" t="s">
        <v>20</v>
      </c>
      <c r="H837" s="18">
        <v>190</v>
      </c>
      <c r="I837" s="13" t="s">
        <v>21</v>
      </c>
      <c r="J837" s="13" t="s">
        <v>973</v>
      </c>
      <c r="K837" s="13"/>
      <c r="L837" s="17"/>
      <c r="M837" s="13" t="s">
        <v>416</v>
      </c>
      <c r="N837" s="17"/>
      <c r="O837" s="13" t="s">
        <v>417</v>
      </c>
      <c r="P837" s="13">
        <v>1</v>
      </c>
    </row>
    <row r="838" spans="1:16">
      <c r="A838" s="10">
        <v>835</v>
      </c>
      <c r="B838" s="13" t="s">
        <v>1330</v>
      </c>
      <c r="C838" s="13" t="str">
        <f>"513021196003040457"</f>
        <v>513021196003040457</v>
      </c>
      <c r="D838" s="13" t="str">
        <f t="shared" si="70"/>
        <v>513021********0457</v>
      </c>
      <c r="E838" s="13" t="str">
        <f t="shared" si="69"/>
        <v>男</v>
      </c>
      <c r="F838" s="17">
        <f ca="1" t="shared" si="66"/>
        <v>64</v>
      </c>
      <c r="G838" s="13" t="s">
        <v>20</v>
      </c>
      <c r="H838" s="18">
        <v>380</v>
      </c>
      <c r="I838" s="13" t="s">
        <v>21</v>
      </c>
      <c r="J838" s="13" t="s">
        <v>973</v>
      </c>
      <c r="K838" s="13"/>
      <c r="L838" s="17" t="str">
        <f>VLOOKUP(C838,[1]Sheet1!$B$2:$U$630,20,0)</f>
        <v>智力三级;</v>
      </c>
      <c r="M838" s="13" t="s">
        <v>416</v>
      </c>
      <c r="N838" s="17" t="s">
        <v>34</v>
      </c>
      <c r="O838" s="13"/>
      <c r="P838" s="13">
        <v>2</v>
      </c>
    </row>
    <row r="839" ht="15.6" spans="1:16">
      <c r="A839" s="10">
        <v>836</v>
      </c>
      <c r="B839" s="34" t="s">
        <v>1331</v>
      </c>
      <c r="C839" s="34" t="s">
        <v>1332</v>
      </c>
      <c r="D839" s="13" t="str">
        <f t="shared" si="70"/>
        <v>513021********0456</v>
      </c>
      <c r="E839" s="13" t="str">
        <f t="shared" si="69"/>
        <v>男</v>
      </c>
      <c r="F839" s="17">
        <f ca="1" t="shared" si="66"/>
        <v>33</v>
      </c>
      <c r="G839" s="13" t="s">
        <v>429</v>
      </c>
      <c r="H839" s="20"/>
      <c r="I839" s="13" t="s">
        <v>21</v>
      </c>
      <c r="J839" s="13" t="s">
        <v>973</v>
      </c>
      <c r="K839" s="13"/>
      <c r="L839" s="17"/>
      <c r="M839" s="13" t="s">
        <v>416</v>
      </c>
      <c r="N839" s="17" t="s">
        <v>34</v>
      </c>
      <c r="O839" s="13"/>
      <c r="P839" s="13"/>
    </row>
    <row r="840" spans="1:16">
      <c r="A840" s="10">
        <v>837</v>
      </c>
      <c r="B840" s="13" t="s">
        <v>1333</v>
      </c>
      <c r="C840" s="13" t="str">
        <f>"513021197109200476"</f>
        <v>513021197109200476</v>
      </c>
      <c r="D840" s="13" t="str">
        <f t="shared" si="70"/>
        <v>513021********0476</v>
      </c>
      <c r="E840" s="13" t="str">
        <f t="shared" si="69"/>
        <v>男</v>
      </c>
      <c r="F840" s="17">
        <f ca="1" t="shared" si="66"/>
        <v>53</v>
      </c>
      <c r="G840" s="13" t="s">
        <v>20</v>
      </c>
      <c r="H840" s="18">
        <v>220</v>
      </c>
      <c r="I840" s="13" t="s">
        <v>21</v>
      </c>
      <c r="J840" s="13" t="s">
        <v>973</v>
      </c>
      <c r="K840" s="13"/>
      <c r="L840" s="17" t="str">
        <f>VLOOKUP(C840,[1]Sheet1!$B$2:$U$630,20,0)</f>
        <v>肢体二级;</v>
      </c>
      <c r="M840" s="13" t="s">
        <v>416</v>
      </c>
      <c r="N840" s="17" t="s">
        <v>34</v>
      </c>
      <c r="O840" s="13"/>
      <c r="P840" s="13">
        <v>3</v>
      </c>
    </row>
    <row r="841" ht="15.6" spans="1:16">
      <c r="A841" s="10">
        <v>838</v>
      </c>
      <c r="B841" s="34" t="s">
        <v>1334</v>
      </c>
      <c r="C841" s="34" t="s">
        <v>1335</v>
      </c>
      <c r="D841" s="13" t="str">
        <f t="shared" si="70"/>
        <v>513021********0472</v>
      </c>
      <c r="E841" s="13" t="str">
        <f t="shared" si="69"/>
        <v>男</v>
      </c>
      <c r="F841" s="17">
        <f ca="1" t="shared" ref="F841:F883" si="71">YEAR(TODAY())-MID(C841,7,4)</f>
        <v>32</v>
      </c>
      <c r="G841" s="13" t="s">
        <v>429</v>
      </c>
      <c r="H841" s="20"/>
      <c r="I841" s="13" t="s">
        <v>21</v>
      </c>
      <c r="J841" s="13" t="s">
        <v>973</v>
      </c>
      <c r="K841" s="13"/>
      <c r="L841" s="17"/>
      <c r="M841" s="13" t="s">
        <v>416</v>
      </c>
      <c r="N841" s="17" t="s">
        <v>34</v>
      </c>
      <c r="O841" s="13"/>
      <c r="P841" s="13"/>
    </row>
    <row r="842" ht="15.6" spans="1:16">
      <c r="A842" s="10">
        <v>839</v>
      </c>
      <c r="B842" s="34" t="s">
        <v>1336</v>
      </c>
      <c r="C842" s="34" t="s">
        <v>1337</v>
      </c>
      <c r="D842" s="13" t="str">
        <f t="shared" si="70"/>
        <v>513021********0441</v>
      </c>
      <c r="E842" s="13" t="str">
        <f t="shared" si="69"/>
        <v>女</v>
      </c>
      <c r="F842" s="17">
        <f ca="1" t="shared" si="71"/>
        <v>29</v>
      </c>
      <c r="G842" s="13" t="s">
        <v>510</v>
      </c>
      <c r="H842" s="20"/>
      <c r="I842" s="13" t="s">
        <v>21</v>
      </c>
      <c r="J842" s="13" t="s">
        <v>973</v>
      </c>
      <c r="K842" s="13"/>
      <c r="L842" s="17"/>
      <c r="M842" s="13" t="s">
        <v>416</v>
      </c>
      <c r="N842" s="17" t="s">
        <v>34</v>
      </c>
      <c r="O842" s="13"/>
      <c r="P842" s="13"/>
    </row>
    <row r="843" spans="1:16">
      <c r="A843" s="10">
        <v>840</v>
      </c>
      <c r="B843" s="13" t="s">
        <v>1338</v>
      </c>
      <c r="C843" s="13" t="s">
        <v>1339</v>
      </c>
      <c r="D843" s="13" t="str">
        <f t="shared" si="70"/>
        <v>513021********047X</v>
      </c>
      <c r="E843" s="13" t="str">
        <f t="shared" si="69"/>
        <v>男</v>
      </c>
      <c r="F843" s="17">
        <f ca="1" t="shared" si="71"/>
        <v>84</v>
      </c>
      <c r="G843" s="13" t="s">
        <v>20</v>
      </c>
      <c r="H843" s="18">
        <v>380</v>
      </c>
      <c r="I843" s="13" t="s">
        <v>21</v>
      </c>
      <c r="J843" s="13" t="s">
        <v>973</v>
      </c>
      <c r="K843" s="13"/>
      <c r="L843" s="17"/>
      <c r="M843" s="13" t="s">
        <v>416</v>
      </c>
      <c r="N843" s="17" t="s">
        <v>34</v>
      </c>
      <c r="O843" s="13"/>
      <c r="P843" s="13">
        <v>3</v>
      </c>
    </row>
    <row r="844" ht="15.6" spans="1:16">
      <c r="A844" s="10">
        <v>841</v>
      </c>
      <c r="B844" s="34" t="s">
        <v>1340</v>
      </c>
      <c r="C844" s="34" t="s">
        <v>1341</v>
      </c>
      <c r="D844" s="13" t="str">
        <f t="shared" si="70"/>
        <v>513021********044X</v>
      </c>
      <c r="E844" s="13" t="str">
        <f t="shared" si="69"/>
        <v>女</v>
      </c>
      <c r="F844" s="17">
        <f ca="1" t="shared" si="71"/>
        <v>87</v>
      </c>
      <c r="G844" s="13" t="s">
        <v>37</v>
      </c>
      <c r="H844" s="20"/>
      <c r="I844" s="13" t="s">
        <v>21</v>
      </c>
      <c r="J844" s="13" t="s">
        <v>973</v>
      </c>
      <c r="K844" s="13"/>
      <c r="L844" s="17"/>
      <c r="M844" s="13" t="s">
        <v>416</v>
      </c>
      <c r="N844" s="17" t="s">
        <v>34</v>
      </c>
      <c r="O844" s="13"/>
      <c r="P844" s="13"/>
    </row>
    <row r="845" ht="15.6" spans="1:16">
      <c r="A845" s="10">
        <v>842</v>
      </c>
      <c r="B845" s="34" t="s">
        <v>1342</v>
      </c>
      <c r="C845" s="34" t="s">
        <v>1343</v>
      </c>
      <c r="D845" s="13" t="str">
        <f t="shared" si="70"/>
        <v>513021********0452</v>
      </c>
      <c r="E845" s="13" t="str">
        <f t="shared" si="69"/>
        <v>男</v>
      </c>
      <c r="F845" s="17">
        <f ca="1" t="shared" si="71"/>
        <v>52</v>
      </c>
      <c r="G845" s="13" t="s">
        <v>429</v>
      </c>
      <c r="H845" s="20"/>
      <c r="I845" s="13" t="s">
        <v>21</v>
      </c>
      <c r="J845" s="13" t="s">
        <v>973</v>
      </c>
      <c r="K845" s="13"/>
      <c r="L845" s="17"/>
      <c r="M845" s="13" t="s">
        <v>416</v>
      </c>
      <c r="N845" s="17" t="s">
        <v>34</v>
      </c>
      <c r="O845" s="13"/>
      <c r="P845" s="13"/>
    </row>
    <row r="846" spans="1:16">
      <c r="A846" s="10">
        <v>843</v>
      </c>
      <c r="B846" s="13" t="s">
        <v>1344</v>
      </c>
      <c r="C846" s="13" t="str">
        <f>"513021197109030470"</f>
        <v>513021197109030470</v>
      </c>
      <c r="D846" s="13" t="str">
        <f t="shared" si="70"/>
        <v>513021********0470</v>
      </c>
      <c r="E846" s="13" t="str">
        <f t="shared" si="69"/>
        <v>男</v>
      </c>
      <c r="F846" s="17">
        <f ca="1" t="shared" si="71"/>
        <v>53</v>
      </c>
      <c r="G846" s="13" t="s">
        <v>20</v>
      </c>
      <c r="H846" s="18">
        <v>220</v>
      </c>
      <c r="I846" s="13" t="s">
        <v>21</v>
      </c>
      <c r="J846" s="13" t="s">
        <v>973</v>
      </c>
      <c r="K846" s="13"/>
      <c r="L846" s="17" t="str">
        <f>VLOOKUP(C846,[1]Sheet1!$B$2:$U$630,20,0)</f>
        <v>精神四级;</v>
      </c>
      <c r="M846" s="13" t="s">
        <v>416</v>
      </c>
      <c r="N846" s="17"/>
      <c r="O846" s="13" t="s">
        <v>417</v>
      </c>
      <c r="P846" s="13">
        <v>1</v>
      </c>
    </row>
    <row r="847" spans="1:16">
      <c r="A847" s="10">
        <v>844</v>
      </c>
      <c r="B847" s="13" t="s">
        <v>1345</v>
      </c>
      <c r="C847" s="13" t="str">
        <f>"513021197309060885"</f>
        <v>513021197309060885</v>
      </c>
      <c r="D847" s="13" t="str">
        <f t="shared" si="70"/>
        <v>513021********0885</v>
      </c>
      <c r="E847" s="13" t="str">
        <f t="shared" ref="E847:E883" si="72">IF(MOD(MID(C847,17,1),2)=1,"男","女")</f>
        <v>女</v>
      </c>
      <c r="F847" s="17">
        <f ca="1" t="shared" si="71"/>
        <v>51</v>
      </c>
      <c r="G847" s="13" t="s">
        <v>20</v>
      </c>
      <c r="H847" s="18">
        <v>190</v>
      </c>
      <c r="I847" s="13" t="s">
        <v>21</v>
      </c>
      <c r="J847" s="13" t="s">
        <v>973</v>
      </c>
      <c r="K847" s="13"/>
      <c r="L847" s="17" t="str">
        <f>VLOOKUP(C847,[1]Sheet1!$B$2:$U$630,20,0)</f>
        <v>精神三级;</v>
      </c>
      <c r="M847" s="13" t="s">
        <v>416</v>
      </c>
      <c r="N847" s="17"/>
      <c r="O847" s="13" t="s">
        <v>417</v>
      </c>
      <c r="P847" s="13">
        <v>1</v>
      </c>
    </row>
    <row r="848" spans="1:16">
      <c r="A848" s="10">
        <v>845</v>
      </c>
      <c r="B848" s="13" t="s">
        <v>1346</v>
      </c>
      <c r="C848" s="13" t="str">
        <f>"513021193601060446"</f>
        <v>513021193601060446</v>
      </c>
      <c r="D848" s="13" t="str">
        <f t="shared" si="70"/>
        <v>513021********0446</v>
      </c>
      <c r="E848" s="13" t="str">
        <f t="shared" si="72"/>
        <v>女</v>
      </c>
      <c r="F848" s="17">
        <f ca="1" t="shared" si="71"/>
        <v>88</v>
      </c>
      <c r="G848" s="13" t="s">
        <v>20</v>
      </c>
      <c r="H848" s="18">
        <v>190</v>
      </c>
      <c r="I848" s="13" t="s">
        <v>21</v>
      </c>
      <c r="J848" s="13" t="s">
        <v>973</v>
      </c>
      <c r="K848" s="13"/>
      <c r="L848" s="17"/>
      <c r="M848" s="13" t="s">
        <v>416</v>
      </c>
      <c r="N848" s="17"/>
      <c r="O848" s="13" t="s">
        <v>417</v>
      </c>
      <c r="P848" s="13">
        <v>1</v>
      </c>
    </row>
    <row r="849" spans="1:16">
      <c r="A849" s="10">
        <v>846</v>
      </c>
      <c r="B849" s="13" t="s">
        <v>1347</v>
      </c>
      <c r="C849" s="13" t="str">
        <f>"513021193608280441"</f>
        <v>513021193608280441</v>
      </c>
      <c r="D849" s="13" t="str">
        <f t="shared" si="70"/>
        <v>513021********0441</v>
      </c>
      <c r="E849" s="13" t="str">
        <f t="shared" si="72"/>
        <v>女</v>
      </c>
      <c r="F849" s="17">
        <f ca="1" t="shared" si="71"/>
        <v>88</v>
      </c>
      <c r="G849" s="13" t="s">
        <v>20</v>
      </c>
      <c r="H849" s="18">
        <v>190</v>
      </c>
      <c r="I849" s="13" t="s">
        <v>21</v>
      </c>
      <c r="J849" s="13" t="s">
        <v>973</v>
      </c>
      <c r="K849" s="13"/>
      <c r="L849" s="17"/>
      <c r="M849" s="13" t="s">
        <v>416</v>
      </c>
      <c r="N849" s="17"/>
      <c r="O849" s="13" t="s">
        <v>417</v>
      </c>
      <c r="P849" s="13">
        <v>1</v>
      </c>
    </row>
    <row r="850" spans="1:16">
      <c r="A850" s="10">
        <v>847</v>
      </c>
      <c r="B850" s="13" t="s">
        <v>1348</v>
      </c>
      <c r="C850" s="13" t="str">
        <f>"513021196511110474"</f>
        <v>513021196511110474</v>
      </c>
      <c r="D850" s="13" t="str">
        <f t="shared" si="70"/>
        <v>513021********0474</v>
      </c>
      <c r="E850" s="13" t="str">
        <f t="shared" si="72"/>
        <v>男</v>
      </c>
      <c r="F850" s="17">
        <f ca="1" t="shared" si="71"/>
        <v>59</v>
      </c>
      <c r="G850" s="13" t="s">
        <v>20</v>
      </c>
      <c r="H850" s="18">
        <v>190</v>
      </c>
      <c r="I850" s="13" t="s">
        <v>21</v>
      </c>
      <c r="J850" s="13" t="s">
        <v>973</v>
      </c>
      <c r="K850" s="13"/>
      <c r="L850" s="17" t="str">
        <f>VLOOKUP(C850,[1]Sheet1!$B$2:$U$630,20,0)</f>
        <v>肢体三级;</v>
      </c>
      <c r="M850" s="13" t="s">
        <v>416</v>
      </c>
      <c r="N850" s="17" t="s">
        <v>34</v>
      </c>
      <c r="O850" s="13"/>
      <c r="P850" s="13">
        <v>2</v>
      </c>
    </row>
    <row r="851" ht="15.6" spans="1:16">
      <c r="A851" s="10">
        <v>848</v>
      </c>
      <c r="B851" s="34" t="s">
        <v>1349</v>
      </c>
      <c r="C851" s="34" t="s">
        <v>1350</v>
      </c>
      <c r="D851" s="13" t="str">
        <f t="shared" si="70"/>
        <v>513021********0449</v>
      </c>
      <c r="E851" s="13" t="str">
        <f t="shared" si="72"/>
        <v>女</v>
      </c>
      <c r="F851" s="17">
        <f ca="1" t="shared" si="71"/>
        <v>36</v>
      </c>
      <c r="G851" s="13" t="s">
        <v>513</v>
      </c>
      <c r="H851" s="20"/>
      <c r="I851" s="13" t="s">
        <v>21</v>
      </c>
      <c r="J851" s="13" t="s">
        <v>973</v>
      </c>
      <c r="K851" s="13"/>
      <c r="L851" s="17"/>
      <c r="M851" s="13" t="s">
        <v>416</v>
      </c>
      <c r="N851" s="17" t="s">
        <v>34</v>
      </c>
      <c r="O851" s="13"/>
      <c r="P851" s="13"/>
    </row>
    <row r="852" spans="1:16">
      <c r="A852" s="10">
        <v>849</v>
      </c>
      <c r="B852" s="13" t="s">
        <v>1351</v>
      </c>
      <c r="C852" s="13" t="str">
        <f>"513021193609240468"</f>
        <v>513021193609240468</v>
      </c>
      <c r="D852" s="13" t="str">
        <f t="shared" si="70"/>
        <v>513021********0468</v>
      </c>
      <c r="E852" s="13" t="str">
        <f t="shared" si="72"/>
        <v>女</v>
      </c>
      <c r="F852" s="17">
        <f ca="1" t="shared" si="71"/>
        <v>88</v>
      </c>
      <c r="G852" s="13" t="s">
        <v>20</v>
      </c>
      <c r="H852" s="18">
        <v>190</v>
      </c>
      <c r="I852" s="13" t="s">
        <v>21</v>
      </c>
      <c r="J852" s="13" t="s">
        <v>973</v>
      </c>
      <c r="K852" s="13"/>
      <c r="L852" s="17" t="str">
        <f>VLOOKUP(C852,[1]Sheet1!$B$2:$U$630,20,0)</f>
        <v>听力二级;</v>
      </c>
      <c r="M852" s="13" t="s">
        <v>416</v>
      </c>
      <c r="N852" s="17"/>
      <c r="O852" s="13" t="s">
        <v>417</v>
      </c>
      <c r="P852" s="13">
        <v>1</v>
      </c>
    </row>
    <row r="853" spans="1:16">
      <c r="A853" s="10">
        <v>850</v>
      </c>
      <c r="B853" s="13" t="s">
        <v>1352</v>
      </c>
      <c r="C853" s="13" t="s">
        <v>1353</v>
      </c>
      <c r="D853" s="13" t="str">
        <f t="shared" si="70"/>
        <v>513021********046X</v>
      </c>
      <c r="E853" s="13" t="str">
        <f t="shared" si="72"/>
        <v>女</v>
      </c>
      <c r="F853" s="17">
        <f ca="1" t="shared" si="71"/>
        <v>79</v>
      </c>
      <c r="G853" s="13" t="s">
        <v>20</v>
      </c>
      <c r="H853" s="18">
        <v>190</v>
      </c>
      <c r="I853" s="13" t="s">
        <v>21</v>
      </c>
      <c r="J853" s="13" t="s">
        <v>973</v>
      </c>
      <c r="K853" s="13"/>
      <c r="L853" s="17"/>
      <c r="M853" s="13" t="s">
        <v>416</v>
      </c>
      <c r="N853" s="17"/>
      <c r="O853" s="13" t="s">
        <v>417</v>
      </c>
      <c r="P853" s="13">
        <v>1</v>
      </c>
    </row>
    <row r="854" spans="1:16">
      <c r="A854" s="10">
        <v>851</v>
      </c>
      <c r="B854" s="13" t="s">
        <v>1354</v>
      </c>
      <c r="C854" s="13" t="str">
        <f>"513021194104050444"</f>
        <v>513021194104050444</v>
      </c>
      <c r="D854" s="13" t="str">
        <f t="shared" si="70"/>
        <v>513021********0444</v>
      </c>
      <c r="E854" s="13" t="str">
        <f t="shared" si="72"/>
        <v>女</v>
      </c>
      <c r="F854" s="17">
        <f ca="1" t="shared" si="71"/>
        <v>83</v>
      </c>
      <c r="G854" s="13" t="s">
        <v>20</v>
      </c>
      <c r="H854" s="18">
        <v>190</v>
      </c>
      <c r="I854" s="13" t="s">
        <v>21</v>
      </c>
      <c r="J854" s="13" t="s">
        <v>973</v>
      </c>
      <c r="K854" s="13"/>
      <c r="L854" s="17" t="str">
        <f>VLOOKUP(C854,[1]Sheet1!$B$2:$U$630,20,0)</f>
        <v>视力三级;</v>
      </c>
      <c r="M854" s="13" t="s">
        <v>416</v>
      </c>
      <c r="N854" s="17"/>
      <c r="O854" s="13" t="s">
        <v>417</v>
      </c>
      <c r="P854" s="13">
        <v>1</v>
      </c>
    </row>
    <row r="855" spans="1:16">
      <c r="A855" s="10">
        <v>852</v>
      </c>
      <c r="B855" s="13" t="s">
        <v>1355</v>
      </c>
      <c r="C855" s="13" t="str">
        <f>"513021197302153026"</f>
        <v>513021197302153026</v>
      </c>
      <c r="D855" s="13" t="str">
        <f t="shared" si="70"/>
        <v>513021********3026</v>
      </c>
      <c r="E855" s="13" t="str">
        <f t="shared" si="72"/>
        <v>女</v>
      </c>
      <c r="F855" s="17">
        <f ca="1" t="shared" si="71"/>
        <v>51</v>
      </c>
      <c r="G855" s="13" t="s">
        <v>20</v>
      </c>
      <c r="H855" s="18">
        <v>190</v>
      </c>
      <c r="I855" s="13" t="s">
        <v>21</v>
      </c>
      <c r="J855" s="13" t="s">
        <v>973</v>
      </c>
      <c r="K855" s="13"/>
      <c r="L855" s="17" t="str">
        <f>VLOOKUP(C855,[1]Sheet1!$B$2:$U$630,20,0)</f>
        <v>精神三级;</v>
      </c>
      <c r="M855" s="13" t="s">
        <v>416</v>
      </c>
      <c r="N855" s="17" t="s">
        <v>34</v>
      </c>
      <c r="O855" s="13"/>
      <c r="P855" s="13">
        <v>3</v>
      </c>
    </row>
    <row r="856" ht="15.6" spans="1:16">
      <c r="A856" s="10">
        <v>853</v>
      </c>
      <c r="B856" s="34" t="s">
        <v>1356</v>
      </c>
      <c r="C856" s="34" t="s">
        <v>1357</v>
      </c>
      <c r="D856" s="13" t="str">
        <f t="shared" si="70"/>
        <v>513021********0458</v>
      </c>
      <c r="E856" s="13" t="str">
        <f t="shared" si="72"/>
        <v>男</v>
      </c>
      <c r="F856" s="17">
        <f ca="1" t="shared" si="71"/>
        <v>52</v>
      </c>
      <c r="G856" s="13" t="s">
        <v>37</v>
      </c>
      <c r="H856" s="20"/>
      <c r="I856" s="13" t="s">
        <v>21</v>
      </c>
      <c r="J856" s="13" t="s">
        <v>973</v>
      </c>
      <c r="K856" s="13"/>
      <c r="L856" s="17"/>
      <c r="M856" s="13" t="s">
        <v>416</v>
      </c>
      <c r="N856" s="17" t="s">
        <v>34</v>
      </c>
      <c r="O856" s="13"/>
      <c r="P856" s="13"/>
    </row>
    <row r="857" ht="15.6" spans="1:16">
      <c r="A857" s="10">
        <v>854</v>
      </c>
      <c r="B857" s="34" t="s">
        <v>1358</v>
      </c>
      <c r="C857" s="34" t="s">
        <v>1359</v>
      </c>
      <c r="D857" s="13" t="str">
        <f t="shared" si="70"/>
        <v>513021********0449</v>
      </c>
      <c r="E857" s="13" t="str">
        <f t="shared" si="72"/>
        <v>女</v>
      </c>
      <c r="F857" s="17">
        <f ca="1" t="shared" si="71"/>
        <v>25</v>
      </c>
      <c r="G857" s="13" t="s">
        <v>513</v>
      </c>
      <c r="H857" s="20"/>
      <c r="I857" s="13" t="s">
        <v>21</v>
      </c>
      <c r="J857" s="13" t="s">
        <v>973</v>
      </c>
      <c r="K857" s="13"/>
      <c r="L857" s="17"/>
      <c r="M857" s="13" t="s">
        <v>416</v>
      </c>
      <c r="N857" s="17" t="s">
        <v>34</v>
      </c>
      <c r="O857" s="13"/>
      <c r="P857" s="13"/>
    </row>
    <row r="858" spans="1:16">
      <c r="A858" s="10">
        <v>855</v>
      </c>
      <c r="B858" s="13" t="s">
        <v>1360</v>
      </c>
      <c r="C858" s="13" t="str">
        <f>"513021194605020446"</f>
        <v>513021194605020446</v>
      </c>
      <c r="D858" s="13" t="str">
        <f t="shared" si="70"/>
        <v>513021********0446</v>
      </c>
      <c r="E858" s="13" t="str">
        <f t="shared" si="72"/>
        <v>女</v>
      </c>
      <c r="F858" s="17">
        <f ca="1" t="shared" si="71"/>
        <v>78</v>
      </c>
      <c r="G858" s="13" t="s">
        <v>20</v>
      </c>
      <c r="H858" s="18">
        <v>190</v>
      </c>
      <c r="I858" s="13" t="s">
        <v>21</v>
      </c>
      <c r="J858" s="13" t="s">
        <v>973</v>
      </c>
      <c r="K858" s="13"/>
      <c r="L858" s="17"/>
      <c r="M858" s="13" t="s">
        <v>416</v>
      </c>
      <c r="N858" s="17"/>
      <c r="O858" s="13" t="s">
        <v>417</v>
      </c>
      <c r="P858" s="13">
        <v>1</v>
      </c>
    </row>
    <row r="859" spans="1:16">
      <c r="A859" s="10">
        <v>856</v>
      </c>
      <c r="B859" s="13" t="s">
        <v>1361</v>
      </c>
      <c r="C859" s="13" t="str">
        <f>"513021194007020462"</f>
        <v>513021194007020462</v>
      </c>
      <c r="D859" s="13" t="str">
        <f t="shared" si="70"/>
        <v>513021********0462</v>
      </c>
      <c r="E859" s="13" t="str">
        <f t="shared" si="72"/>
        <v>女</v>
      </c>
      <c r="F859" s="17">
        <f ca="1" t="shared" si="71"/>
        <v>84</v>
      </c>
      <c r="G859" s="13" t="s">
        <v>20</v>
      </c>
      <c r="H859" s="18">
        <v>190</v>
      </c>
      <c r="I859" s="13" t="s">
        <v>21</v>
      </c>
      <c r="J859" s="13" t="s">
        <v>973</v>
      </c>
      <c r="K859" s="13"/>
      <c r="L859" s="17"/>
      <c r="M859" s="13" t="s">
        <v>416</v>
      </c>
      <c r="N859" s="17"/>
      <c r="O859" s="13" t="s">
        <v>417</v>
      </c>
      <c r="P859" s="13">
        <v>1</v>
      </c>
    </row>
    <row r="860" spans="1:16">
      <c r="A860" s="10">
        <v>857</v>
      </c>
      <c r="B860" s="13" t="s">
        <v>1362</v>
      </c>
      <c r="C860" s="13" t="str">
        <f>"513021193906280458"</f>
        <v>513021193906280458</v>
      </c>
      <c r="D860" s="13" t="str">
        <f t="shared" si="70"/>
        <v>513021********0458</v>
      </c>
      <c r="E860" s="13" t="str">
        <f t="shared" si="72"/>
        <v>男</v>
      </c>
      <c r="F860" s="17">
        <f ca="1" t="shared" si="71"/>
        <v>85</v>
      </c>
      <c r="G860" s="13" t="s">
        <v>20</v>
      </c>
      <c r="H860" s="18">
        <v>190</v>
      </c>
      <c r="I860" s="13" t="s">
        <v>21</v>
      </c>
      <c r="J860" s="13" t="s">
        <v>973</v>
      </c>
      <c r="K860" s="13"/>
      <c r="L860" s="17"/>
      <c r="M860" s="13" t="s">
        <v>416</v>
      </c>
      <c r="N860" s="17"/>
      <c r="O860" s="13" t="s">
        <v>417</v>
      </c>
      <c r="P860" s="13">
        <v>1</v>
      </c>
    </row>
    <row r="861" spans="1:16">
      <c r="A861" s="10">
        <v>858</v>
      </c>
      <c r="B861" s="13" t="s">
        <v>1363</v>
      </c>
      <c r="C861" s="13" t="str">
        <f>"513021195902260440"</f>
        <v>513021195902260440</v>
      </c>
      <c r="D861" s="13" t="str">
        <f t="shared" si="70"/>
        <v>513021********0440</v>
      </c>
      <c r="E861" s="13" t="str">
        <f t="shared" si="72"/>
        <v>女</v>
      </c>
      <c r="F861" s="17">
        <f ca="1" t="shared" si="71"/>
        <v>65</v>
      </c>
      <c r="G861" s="13" t="s">
        <v>20</v>
      </c>
      <c r="H861" s="18">
        <v>190</v>
      </c>
      <c r="I861" s="13" t="s">
        <v>21</v>
      </c>
      <c r="J861" s="13" t="s">
        <v>973</v>
      </c>
      <c r="K861" s="13"/>
      <c r="L861" s="17"/>
      <c r="M861" s="13" t="s">
        <v>416</v>
      </c>
      <c r="N861" s="17" t="s">
        <v>34</v>
      </c>
      <c r="O861" s="13"/>
      <c r="P861" s="13">
        <v>4</v>
      </c>
    </row>
    <row r="862" ht="15.6" spans="1:16">
      <c r="A862" s="10">
        <v>859</v>
      </c>
      <c r="B862" s="34" t="s">
        <v>1364</v>
      </c>
      <c r="C862" s="34" t="s">
        <v>1365</v>
      </c>
      <c r="D862" s="13" t="str">
        <f t="shared" si="70"/>
        <v>513021********045X</v>
      </c>
      <c r="E862" s="13" t="str">
        <f t="shared" si="72"/>
        <v>男</v>
      </c>
      <c r="F862" s="17">
        <f ca="1" t="shared" si="71"/>
        <v>75</v>
      </c>
      <c r="G862" s="13" t="s">
        <v>37</v>
      </c>
      <c r="H862" s="20"/>
      <c r="I862" s="13" t="s">
        <v>21</v>
      </c>
      <c r="J862" s="13" t="s">
        <v>973</v>
      </c>
      <c r="K862" s="13"/>
      <c r="L862" s="17"/>
      <c r="M862" s="13" t="s">
        <v>416</v>
      </c>
      <c r="N862" s="17" t="s">
        <v>34</v>
      </c>
      <c r="O862" s="13"/>
      <c r="P862" s="13"/>
    </row>
    <row r="863" ht="15.6" spans="1:16">
      <c r="A863" s="10">
        <v>860</v>
      </c>
      <c r="B863" s="34" t="s">
        <v>219</v>
      </c>
      <c r="C863" s="34" t="s">
        <v>1366</v>
      </c>
      <c r="D863" s="13" t="str">
        <f t="shared" si="70"/>
        <v>513021********0442</v>
      </c>
      <c r="E863" s="13" t="str">
        <f t="shared" si="72"/>
        <v>女</v>
      </c>
      <c r="F863" s="17">
        <f ca="1" t="shared" si="71"/>
        <v>45</v>
      </c>
      <c r="G863" s="13" t="s">
        <v>475</v>
      </c>
      <c r="H863" s="20"/>
      <c r="I863" s="13" t="s">
        <v>21</v>
      </c>
      <c r="J863" s="13" t="s">
        <v>973</v>
      </c>
      <c r="K863" s="13"/>
      <c r="L863" s="17"/>
      <c r="M863" s="13" t="s">
        <v>416</v>
      </c>
      <c r="N863" s="17" t="s">
        <v>34</v>
      </c>
      <c r="O863" s="13"/>
      <c r="P863" s="13"/>
    </row>
    <row r="864" ht="15.6" spans="1:16">
      <c r="A864" s="10">
        <v>861</v>
      </c>
      <c r="B864" s="34" t="s">
        <v>1367</v>
      </c>
      <c r="C864" s="34" t="s">
        <v>1368</v>
      </c>
      <c r="D864" s="13" t="str">
        <f t="shared" si="70"/>
        <v>511721********5725</v>
      </c>
      <c r="E864" s="13" t="str">
        <f t="shared" si="72"/>
        <v>女</v>
      </c>
      <c r="F864" s="17">
        <f ca="1" t="shared" si="71"/>
        <v>23</v>
      </c>
      <c r="G864" s="13" t="s">
        <v>440</v>
      </c>
      <c r="H864" s="20"/>
      <c r="I864" s="13" t="s">
        <v>21</v>
      </c>
      <c r="J864" s="13" t="s">
        <v>973</v>
      </c>
      <c r="K864" s="13"/>
      <c r="L864" s="17"/>
      <c r="M864" s="13" t="s">
        <v>416</v>
      </c>
      <c r="N864" s="17" t="s">
        <v>34</v>
      </c>
      <c r="O864" s="13"/>
      <c r="P864" s="13"/>
    </row>
    <row r="865" spans="1:16">
      <c r="A865" s="10">
        <v>862</v>
      </c>
      <c r="B865" s="13" t="s">
        <v>1369</v>
      </c>
      <c r="C865" s="13" t="str">
        <f>"513021196212190443"</f>
        <v>513021196212190443</v>
      </c>
      <c r="D865" s="13" t="str">
        <f t="shared" si="70"/>
        <v>513021********0443</v>
      </c>
      <c r="E865" s="13" t="str">
        <f t="shared" si="72"/>
        <v>女</v>
      </c>
      <c r="F865" s="17">
        <f ca="1" t="shared" si="71"/>
        <v>62</v>
      </c>
      <c r="G865" s="13" t="s">
        <v>20</v>
      </c>
      <c r="H865" s="18">
        <v>190</v>
      </c>
      <c r="I865" s="13" t="s">
        <v>21</v>
      </c>
      <c r="J865" s="13" t="s">
        <v>973</v>
      </c>
      <c r="K865" s="13"/>
      <c r="L865" s="17"/>
      <c r="M865" s="13" t="s">
        <v>416</v>
      </c>
      <c r="N865" s="17"/>
      <c r="O865" s="13" t="s">
        <v>417</v>
      </c>
      <c r="P865" s="13">
        <v>1</v>
      </c>
    </row>
    <row r="866" spans="1:16">
      <c r="A866" s="10">
        <v>863</v>
      </c>
      <c r="B866" s="13" t="s">
        <v>1370</v>
      </c>
      <c r="C866" s="13" t="str">
        <f>"513021195608140448"</f>
        <v>513021195608140448</v>
      </c>
      <c r="D866" s="13" t="str">
        <f t="shared" si="70"/>
        <v>513021********0448</v>
      </c>
      <c r="E866" s="13" t="str">
        <f t="shared" si="72"/>
        <v>女</v>
      </c>
      <c r="F866" s="17">
        <f ca="1" t="shared" si="71"/>
        <v>68</v>
      </c>
      <c r="G866" s="13" t="s">
        <v>20</v>
      </c>
      <c r="H866" s="18">
        <v>190</v>
      </c>
      <c r="I866" s="13" t="s">
        <v>21</v>
      </c>
      <c r="J866" s="13" t="s">
        <v>973</v>
      </c>
      <c r="K866" s="13"/>
      <c r="L866" s="17"/>
      <c r="M866" s="13" t="s">
        <v>416</v>
      </c>
      <c r="N866" s="17"/>
      <c r="O866" s="13" t="s">
        <v>417</v>
      </c>
      <c r="P866" s="13">
        <v>1</v>
      </c>
    </row>
    <row r="867" spans="1:16">
      <c r="A867" s="10">
        <v>864</v>
      </c>
      <c r="B867" s="13" t="s">
        <v>1371</v>
      </c>
      <c r="C867" s="13" t="str">
        <f>"513021196508270979"</f>
        <v>513021196508270979</v>
      </c>
      <c r="D867" s="13" t="str">
        <f t="shared" si="70"/>
        <v>513021********0979</v>
      </c>
      <c r="E867" s="13" t="str">
        <f t="shared" si="72"/>
        <v>男</v>
      </c>
      <c r="F867" s="17">
        <f ca="1" t="shared" si="71"/>
        <v>59</v>
      </c>
      <c r="G867" s="13" t="s">
        <v>20</v>
      </c>
      <c r="H867" s="18">
        <v>126</v>
      </c>
      <c r="I867" s="13" t="s">
        <v>21</v>
      </c>
      <c r="J867" s="13" t="s">
        <v>973</v>
      </c>
      <c r="K867" s="13"/>
      <c r="L867" s="17" t="str">
        <f>VLOOKUP(C867,[1]Sheet1!$B$2:$U$630,20,0)</f>
        <v>肢体三级;</v>
      </c>
      <c r="M867" s="13" t="s">
        <v>416</v>
      </c>
      <c r="N867" s="17" t="s">
        <v>34</v>
      </c>
      <c r="O867" s="13"/>
      <c r="P867" s="13">
        <v>2</v>
      </c>
    </row>
    <row r="868" ht="15.6" spans="1:16">
      <c r="A868" s="10">
        <v>865</v>
      </c>
      <c r="B868" s="34" t="s">
        <v>1372</v>
      </c>
      <c r="C868" s="34" t="s">
        <v>1373</v>
      </c>
      <c r="D868" s="13" t="str">
        <f t="shared" si="70"/>
        <v>513021********0967</v>
      </c>
      <c r="E868" s="13" t="str">
        <f t="shared" si="72"/>
        <v>女</v>
      </c>
      <c r="F868" s="17">
        <f ca="1" t="shared" si="71"/>
        <v>60</v>
      </c>
      <c r="G868" s="13" t="s">
        <v>37</v>
      </c>
      <c r="H868" s="20"/>
      <c r="I868" s="13" t="s">
        <v>21</v>
      </c>
      <c r="J868" s="13" t="s">
        <v>973</v>
      </c>
      <c r="K868" s="13"/>
      <c r="L868" s="17"/>
      <c r="M868" s="13" t="s">
        <v>416</v>
      </c>
      <c r="N868" s="17" t="s">
        <v>34</v>
      </c>
      <c r="O868" s="13"/>
      <c r="P868" s="13"/>
    </row>
    <row r="869" spans="1:16">
      <c r="A869" s="10">
        <v>866</v>
      </c>
      <c r="B869" s="13" t="s">
        <v>1374</v>
      </c>
      <c r="C869" s="13" t="str">
        <f>"511721200602025756"</f>
        <v>511721200602025756</v>
      </c>
      <c r="D869" s="13" t="str">
        <f t="shared" si="70"/>
        <v>511721********5756</v>
      </c>
      <c r="E869" s="13" t="str">
        <f t="shared" si="72"/>
        <v>男</v>
      </c>
      <c r="F869" s="17">
        <f ca="1" t="shared" si="71"/>
        <v>18</v>
      </c>
      <c r="G869" s="13" t="s">
        <v>20</v>
      </c>
      <c r="H869" s="18">
        <v>190</v>
      </c>
      <c r="I869" s="13" t="s">
        <v>21</v>
      </c>
      <c r="J869" s="13" t="s">
        <v>973</v>
      </c>
      <c r="K869" s="13"/>
      <c r="L869" s="17"/>
      <c r="M869" s="13" t="s">
        <v>416</v>
      </c>
      <c r="N869" s="17"/>
      <c r="O869" s="13" t="s">
        <v>417</v>
      </c>
      <c r="P869" s="13">
        <v>1</v>
      </c>
    </row>
    <row r="870" spans="1:16">
      <c r="A870" s="10">
        <v>867</v>
      </c>
      <c r="B870" s="13" t="s">
        <v>1375</v>
      </c>
      <c r="C870" s="13" t="str">
        <f>"511721200206014588"</f>
        <v>511721200206014588</v>
      </c>
      <c r="D870" s="13" t="str">
        <f t="shared" si="70"/>
        <v>511721********4588</v>
      </c>
      <c r="E870" s="13" t="str">
        <f t="shared" si="72"/>
        <v>女</v>
      </c>
      <c r="F870" s="17">
        <f ca="1" t="shared" si="71"/>
        <v>22</v>
      </c>
      <c r="G870" s="13" t="s">
        <v>20</v>
      </c>
      <c r="H870" s="18">
        <v>190</v>
      </c>
      <c r="I870" s="13" t="s">
        <v>21</v>
      </c>
      <c r="J870" s="13" t="s">
        <v>973</v>
      </c>
      <c r="K870" s="13"/>
      <c r="L870" s="17" t="str">
        <f>VLOOKUP(C870,[1]Sheet1!$B$2:$U$630,20,0)</f>
        <v>肢体四级;</v>
      </c>
      <c r="M870" s="13" t="s">
        <v>416</v>
      </c>
      <c r="N870" s="17" t="s">
        <v>34</v>
      </c>
      <c r="O870" s="13"/>
      <c r="P870" s="13">
        <v>3</v>
      </c>
    </row>
    <row r="871" ht="15.6" spans="1:16">
      <c r="A871" s="10">
        <v>868</v>
      </c>
      <c r="B871" s="34" t="s">
        <v>1376</v>
      </c>
      <c r="C871" s="34" t="s">
        <v>1377</v>
      </c>
      <c r="D871" s="13" t="str">
        <f t="shared" si="70"/>
        <v>513021********0965</v>
      </c>
      <c r="E871" s="13" t="str">
        <f t="shared" si="72"/>
        <v>女</v>
      </c>
      <c r="F871" s="17">
        <f ca="1" t="shared" si="71"/>
        <v>56</v>
      </c>
      <c r="G871" s="13" t="s">
        <v>475</v>
      </c>
      <c r="H871" s="20"/>
      <c r="I871" s="13" t="s">
        <v>21</v>
      </c>
      <c r="J871" s="13" t="s">
        <v>973</v>
      </c>
      <c r="K871" s="13"/>
      <c r="L871" s="17"/>
      <c r="M871" s="13" t="s">
        <v>416</v>
      </c>
      <c r="N871" s="17" t="s">
        <v>34</v>
      </c>
      <c r="O871" s="13"/>
      <c r="P871" s="13"/>
    </row>
    <row r="872" ht="15.6" spans="1:16">
      <c r="A872" s="10">
        <v>869</v>
      </c>
      <c r="B872" s="34" t="s">
        <v>1378</v>
      </c>
      <c r="C872" s="34" t="s">
        <v>1379</v>
      </c>
      <c r="D872" s="13" t="str">
        <f t="shared" si="70"/>
        <v>513021********0964</v>
      </c>
      <c r="E872" s="13" t="str">
        <f t="shared" si="72"/>
        <v>女</v>
      </c>
      <c r="F872" s="17">
        <f ca="1" t="shared" si="71"/>
        <v>36</v>
      </c>
      <c r="G872" s="13" t="s">
        <v>614</v>
      </c>
      <c r="H872" s="20"/>
      <c r="I872" s="13" t="s">
        <v>21</v>
      </c>
      <c r="J872" s="13" t="s">
        <v>973</v>
      </c>
      <c r="K872" s="13"/>
      <c r="L872" s="17"/>
      <c r="M872" s="13" t="s">
        <v>416</v>
      </c>
      <c r="N872" s="17" t="s">
        <v>34</v>
      </c>
      <c r="O872" s="13"/>
      <c r="P872" s="13"/>
    </row>
    <row r="873" spans="1:16">
      <c r="A873" s="10">
        <v>870</v>
      </c>
      <c r="B873" s="13" t="s">
        <v>1380</v>
      </c>
      <c r="C873" s="13" t="str">
        <f>"513021195612110970"</f>
        <v>513021195612110970</v>
      </c>
      <c r="D873" s="13" t="str">
        <f t="shared" si="70"/>
        <v>513021********0970</v>
      </c>
      <c r="E873" s="13" t="str">
        <f t="shared" si="72"/>
        <v>男</v>
      </c>
      <c r="F873" s="17">
        <f ca="1" t="shared" si="71"/>
        <v>68</v>
      </c>
      <c r="G873" s="13" t="s">
        <v>20</v>
      </c>
      <c r="H873" s="18">
        <v>190</v>
      </c>
      <c r="I873" s="13" t="s">
        <v>21</v>
      </c>
      <c r="J873" s="13" t="s">
        <v>973</v>
      </c>
      <c r="K873" s="13"/>
      <c r="L873" s="17"/>
      <c r="M873" s="13" t="s">
        <v>416</v>
      </c>
      <c r="N873" s="17"/>
      <c r="O873" s="13" t="s">
        <v>417</v>
      </c>
      <c r="P873" s="13">
        <v>1</v>
      </c>
    </row>
    <row r="874" spans="1:16">
      <c r="A874" s="10">
        <v>871</v>
      </c>
      <c r="B874" s="13" t="s">
        <v>1381</v>
      </c>
      <c r="C874" s="13" t="str">
        <f>"513021195703170979"</f>
        <v>513021195703170979</v>
      </c>
      <c r="D874" s="13" t="str">
        <f t="shared" si="70"/>
        <v>513021********0979</v>
      </c>
      <c r="E874" s="13" t="str">
        <f t="shared" si="72"/>
        <v>男</v>
      </c>
      <c r="F874" s="17">
        <f ca="1" t="shared" si="71"/>
        <v>67</v>
      </c>
      <c r="G874" s="13" t="s">
        <v>20</v>
      </c>
      <c r="H874" s="18">
        <v>190</v>
      </c>
      <c r="I874" s="13" t="s">
        <v>21</v>
      </c>
      <c r="J874" s="13" t="s">
        <v>973</v>
      </c>
      <c r="K874" s="13"/>
      <c r="L874" s="17"/>
      <c r="M874" s="13" t="s">
        <v>416</v>
      </c>
      <c r="N874" s="17" t="s">
        <v>34</v>
      </c>
      <c r="O874" s="13"/>
      <c r="P874" s="13">
        <v>3</v>
      </c>
    </row>
    <row r="875" ht="15.6" spans="1:16">
      <c r="A875" s="10">
        <v>872</v>
      </c>
      <c r="B875" s="34" t="s">
        <v>740</v>
      </c>
      <c r="C875" s="34" t="s">
        <v>1382</v>
      </c>
      <c r="D875" s="13" t="str">
        <f t="shared" si="70"/>
        <v>513021********096X</v>
      </c>
      <c r="E875" s="13" t="str">
        <f t="shared" si="72"/>
        <v>女</v>
      </c>
      <c r="F875" s="17">
        <f ca="1" t="shared" si="71"/>
        <v>66</v>
      </c>
      <c r="G875" s="13" t="s">
        <v>37</v>
      </c>
      <c r="H875" s="20"/>
      <c r="I875" s="13" t="s">
        <v>21</v>
      </c>
      <c r="J875" s="13" t="s">
        <v>973</v>
      </c>
      <c r="K875" s="13"/>
      <c r="L875" s="17"/>
      <c r="M875" s="13" t="s">
        <v>416</v>
      </c>
      <c r="N875" s="17" t="s">
        <v>34</v>
      </c>
      <c r="O875" s="13"/>
      <c r="P875" s="13"/>
    </row>
    <row r="876" ht="15.6" spans="1:16">
      <c r="A876" s="10">
        <v>873</v>
      </c>
      <c r="B876" s="34" t="s">
        <v>1383</v>
      </c>
      <c r="C876" s="34" t="s">
        <v>1384</v>
      </c>
      <c r="D876" s="13" t="str">
        <f t="shared" si="70"/>
        <v>511721********5710</v>
      </c>
      <c r="E876" s="13" t="str">
        <f t="shared" si="72"/>
        <v>男</v>
      </c>
      <c r="F876" s="17">
        <f ca="1" t="shared" si="71"/>
        <v>21</v>
      </c>
      <c r="G876" s="13" t="s">
        <v>469</v>
      </c>
      <c r="H876" s="20"/>
      <c r="I876" s="13" t="s">
        <v>21</v>
      </c>
      <c r="J876" s="13" t="s">
        <v>973</v>
      </c>
      <c r="K876" s="13"/>
      <c r="L876" s="17"/>
      <c r="M876" s="13" t="s">
        <v>416</v>
      </c>
      <c r="N876" s="17" t="s">
        <v>34</v>
      </c>
      <c r="O876" s="13"/>
      <c r="P876" s="13"/>
    </row>
    <row r="877" spans="1:16">
      <c r="A877" s="10">
        <v>874</v>
      </c>
      <c r="B877" s="13" t="s">
        <v>1385</v>
      </c>
      <c r="C877" s="13" t="str">
        <f>"513021196704150990"</f>
        <v>513021196704150990</v>
      </c>
      <c r="D877" s="13" t="str">
        <f t="shared" si="70"/>
        <v>513021********0990</v>
      </c>
      <c r="E877" s="13" t="str">
        <f t="shared" si="72"/>
        <v>男</v>
      </c>
      <c r="F877" s="17">
        <f ca="1" t="shared" si="71"/>
        <v>57</v>
      </c>
      <c r="G877" s="13" t="s">
        <v>20</v>
      </c>
      <c r="H877" s="18">
        <v>190</v>
      </c>
      <c r="I877" s="13" t="s">
        <v>21</v>
      </c>
      <c r="J877" s="13" t="s">
        <v>973</v>
      </c>
      <c r="K877" s="13"/>
      <c r="L877" s="17"/>
      <c r="M877" s="13" t="s">
        <v>416</v>
      </c>
      <c r="N877" s="17" t="s">
        <v>34</v>
      </c>
      <c r="O877" s="13"/>
      <c r="P877" s="13">
        <v>4</v>
      </c>
    </row>
    <row r="878" ht="15.6" spans="1:16">
      <c r="A878" s="10">
        <v>875</v>
      </c>
      <c r="B878" s="34" t="s">
        <v>1386</v>
      </c>
      <c r="C878" s="34" t="s">
        <v>1387</v>
      </c>
      <c r="D878" s="13" t="str">
        <f t="shared" si="70"/>
        <v>513021********0967</v>
      </c>
      <c r="E878" s="13" t="str">
        <f t="shared" si="72"/>
        <v>女</v>
      </c>
      <c r="F878" s="17">
        <f ca="1" t="shared" si="71"/>
        <v>57</v>
      </c>
      <c r="G878" s="13" t="s">
        <v>37</v>
      </c>
      <c r="H878" s="20"/>
      <c r="I878" s="13" t="s">
        <v>21</v>
      </c>
      <c r="J878" s="13" t="s">
        <v>973</v>
      </c>
      <c r="K878" s="13"/>
      <c r="L878" s="17"/>
      <c r="M878" s="13" t="s">
        <v>416</v>
      </c>
      <c r="N878" s="17" t="s">
        <v>34</v>
      </c>
      <c r="O878" s="13"/>
      <c r="P878" s="13"/>
    </row>
    <row r="879" ht="15.6" spans="1:16">
      <c r="A879" s="10">
        <v>876</v>
      </c>
      <c r="B879" s="34" t="s">
        <v>1388</v>
      </c>
      <c r="C879" s="34" t="s">
        <v>1389</v>
      </c>
      <c r="D879" s="13" t="str">
        <f t="shared" si="70"/>
        <v>513021********0967</v>
      </c>
      <c r="E879" s="13" t="str">
        <f t="shared" si="72"/>
        <v>女</v>
      </c>
      <c r="F879" s="17">
        <f ca="1" t="shared" si="71"/>
        <v>35</v>
      </c>
      <c r="G879" s="13" t="s">
        <v>513</v>
      </c>
      <c r="H879" s="20"/>
      <c r="I879" s="13" t="s">
        <v>21</v>
      </c>
      <c r="J879" s="13" t="s">
        <v>973</v>
      </c>
      <c r="K879" s="13"/>
      <c r="L879" s="17"/>
      <c r="M879" s="13" t="s">
        <v>416</v>
      </c>
      <c r="N879" s="17"/>
      <c r="O879" s="13"/>
      <c r="P879" s="13"/>
    </row>
    <row r="880" ht="15.6" spans="1:16">
      <c r="A880" s="10">
        <v>877</v>
      </c>
      <c r="B880" s="34" t="s">
        <v>1390</v>
      </c>
      <c r="C880" s="34" t="s">
        <v>1391</v>
      </c>
      <c r="D880" s="13" t="str">
        <f t="shared" si="70"/>
        <v>511721********5728</v>
      </c>
      <c r="E880" s="13" t="str">
        <f t="shared" si="72"/>
        <v>女</v>
      </c>
      <c r="F880" s="17">
        <f ca="1" t="shared" si="71"/>
        <v>24</v>
      </c>
      <c r="G880" s="13" t="s">
        <v>513</v>
      </c>
      <c r="H880" s="20"/>
      <c r="I880" s="13" t="s">
        <v>21</v>
      </c>
      <c r="J880" s="13" t="s">
        <v>973</v>
      </c>
      <c r="K880" s="13"/>
      <c r="L880" s="17"/>
      <c r="M880" s="13" t="s">
        <v>416</v>
      </c>
      <c r="N880" s="17" t="s">
        <v>34</v>
      </c>
      <c r="O880" s="13"/>
      <c r="P880" s="13"/>
    </row>
    <row r="881" spans="1:16">
      <c r="A881" s="10">
        <v>878</v>
      </c>
      <c r="B881" s="13" t="s">
        <v>1392</v>
      </c>
      <c r="C881" s="13" t="str">
        <f>"513021194109200966"</f>
        <v>513021194109200966</v>
      </c>
      <c r="D881" s="13" t="str">
        <f t="shared" si="70"/>
        <v>513021********0966</v>
      </c>
      <c r="E881" s="13" t="str">
        <f t="shared" si="72"/>
        <v>女</v>
      </c>
      <c r="F881" s="17">
        <f ca="1" t="shared" si="71"/>
        <v>83</v>
      </c>
      <c r="G881" s="13" t="s">
        <v>20</v>
      </c>
      <c r="H881" s="18">
        <v>190</v>
      </c>
      <c r="I881" s="13" t="s">
        <v>21</v>
      </c>
      <c r="J881" s="13" t="s">
        <v>973</v>
      </c>
      <c r="K881" s="13"/>
      <c r="L881" s="17"/>
      <c r="M881" s="13" t="s">
        <v>416</v>
      </c>
      <c r="N881" s="17" t="s">
        <v>34</v>
      </c>
      <c r="O881" s="13"/>
      <c r="P881" s="13">
        <v>3</v>
      </c>
    </row>
    <row r="882" ht="15.6" spans="1:16">
      <c r="A882" s="10">
        <v>879</v>
      </c>
      <c r="B882" s="34" t="s">
        <v>1393</v>
      </c>
      <c r="C882" s="34" t="s">
        <v>1394</v>
      </c>
      <c r="D882" s="13" t="str">
        <f t="shared" si="70"/>
        <v>513021********0976</v>
      </c>
      <c r="E882" s="13" t="str">
        <f t="shared" si="72"/>
        <v>男</v>
      </c>
      <c r="F882" s="17">
        <f ca="1" t="shared" si="71"/>
        <v>68</v>
      </c>
      <c r="G882" s="13" t="s">
        <v>434</v>
      </c>
      <c r="H882" s="20"/>
      <c r="I882" s="13" t="s">
        <v>21</v>
      </c>
      <c r="J882" s="13" t="s">
        <v>973</v>
      </c>
      <c r="K882" s="13"/>
      <c r="L882" s="17"/>
      <c r="M882" s="17" t="s">
        <v>278</v>
      </c>
      <c r="N882" s="17" t="s">
        <v>34</v>
      </c>
      <c r="O882" s="13"/>
      <c r="P882" s="13"/>
    </row>
    <row r="883" ht="15.6" spans="1:16">
      <c r="A883" s="10">
        <v>880</v>
      </c>
      <c r="B883" s="34" t="s">
        <v>1395</v>
      </c>
      <c r="C883" s="34" t="s">
        <v>1396</v>
      </c>
      <c r="D883" s="13" t="str">
        <f t="shared" si="70"/>
        <v>513021********0963</v>
      </c>
      <c r="E883" s="13" t="str">
        <f t="shared" si="72"/>
        <v>女</v>
      </c>
      <c r="F883" s="17">
        <f ca="1" t="shared" si="71"/>
        <v>65</v>
      </c>
      <c r="G883" s="13" t="s">
        <v>437</v>
      </c>
      <c r="H883" s="20"/>
      <c r="I883" s="13" t="s">
        <v>21</v>
      </c>
      <c r="J883" s="13" t="s">
        <v>973</v>
      </c>
      <c r="K883" s="13"/>
      <c r="L883" s="17"/>
      <c r="M883" s="13" t="s">
        <v>416</v>
      </c>
      <c r="N883" s="17" t="s">
        <v>34</v>
      </c>
      <c r="O883" s="13"/>
      <c r="P883" s="13"/>
    </row>
    <row r="884" spans="1:16">
      <c r="A884" s="10">
        <v>881</v>
      </c>
      <c r="B884" s="13" t="s">
        <v>1397</v>
      </c>
      <c r="C884" s="13" t="s">
        <v>1398</v>
      </c>
      <c r="D884" s="13" t="str">
        <f t="shared" si="70"/>
        <v>513021********096X</v>
      </c>
      <c r="E884" s="13" t="str">
        <f t="shared" ref="E884:E906" si="73">IF(MOD(MID(C884,17,1),2)=1,"男","女")</f>
        <v>女</v>
      </c>
      <c r="F884" s="17">
        <f ca="1" t="shared" ref="F884:F906" si="74">YEAR(TODAY())-MID(C884,7,4)</f>
        <v>77</v>
      </c>
      <c r="G884" s="13" t="s">
        <v>20</v>
      </c>
      <c r="H884" s="18">
        <v>190</v>
      </c>
      <c r="I884" s="13" t="s">
        <v>21</v>
      </c>
      <c r="J884" s="13" t="s">
        <v>973</v>
      </c>
      <c r="K884" s="13"/>
      <c r="L884" s="17"/>
      <c r="M884" s="13" t="s">
        <v>416</v>
      </c>
      <c r="N884" s="17"/>
      <c r="O884" s="13" t="s">
        <v>417</v>
      </c>
      <c r="P884" s="13">
        <v>1</v>
      </c>
    </row>
    <row r="885" spans="1:16">
      <c r="A885" s="10">
        <v>882</v>
      </c>
      <c r="B885" s="13" t="s">
        <v>1399</v>
      </c>
      <c r="C885" s="13" t="str">
        <f>"513021194208290960"</f>
        <v>513021194208290960</v>
      </c>
      <c r="D885" s="13" t="str">
        <f t="shared" si="70"/>
        <v>513021********0960</v>
      </c>
      <c r="E885" s="13" t="str">
        <f t="shared" si="73"/>
        <v>女</v>
      </c>
      <c r="F885" s="17">
        <f ca="1" t="shared" si="74"/>
        <v>82</v>
      </c>
      <c r="G885" s="13" t="s">
        <v>20</v>
      </c>
      <c r="H885" s="18">
        <v>190</v>
      </c>
      <c r="I885" s="13" t="s">
        <v>21</v>
      </c>
      <c r="J885" s="13" t="s">
        <v>973</v>
      </c>
      <c r="K885" s="13"/>
      <c r="L885" s="17"/>
      <c r="M885" s="13" t="s">
        <v>416</v>
      </c>
      <c r="N885" s="17"/>
      <c r="O885" s="13" t="s">
        <v>417</v>
      </c>
      <c r="P885" s="13">
        <v>1</v>
      </c>
    </row>
    <row r="886" spans="1:16">
      <c r="A886" s="10">
        <v>883</v>
      </c>
      <c r="B886" s="13" t="s">
        <v>1400</v>
      </c>
      <c r="C886" s="13" t="str">
        <f>"513021195203180994"</f>
        <v>513021195203180994</v>
      </c>
      <c r="D886" s="13" t="str">
        <f t="shared" si="70"/>
        <v>513021********0994</v>
      </c>
      <c r="E886" s="13" t="str">
        <f t="shared" si="73"/>
        <v>男</v>
      </c>
      <c r="F886" s="17">
        <f ca="1" t="shared" si="74"/>
        <v>72</v>
      </c>
      <c r="G886" s="13" t="s">
        <v>20</v>
      </c>
      <c r="H886" s="18">
        <v>190</v>
      </c>
      <c r="I886" s="13" t="s">
        <v>21</v>
      </c>
      <c r="J886" s="13" t="s">
        <v>973</v>
      </c>
      <c r="K886" s="13"/>
      <c r="L886" s="17"/>
      <c r="M886" s="13" t="s">
        <v>416</v>
      </c>
      <c r="N886" s="17"/>
      <c r="O886" s="13" t="s">
        <v>417</v>
      </c>
      <c r="P886" s="13">
        <v>1</v>
      </c>
    </row>
    <row r="887" spans="1:16">
      <c r="A887" s="10">
        <v>884</v>
      </c>
      <c r="B887" s="13" t="s">
        <v>1401</v>
      </c>
      <c r="C887" s="13" t="str">
        <f>"513021193808070967"</f>
        <v>513021193808070967</v>
      </c>
      <c r="D887" s="13" t="str">
        <f t="shared" si="70"/>
        <v>513021********0967</v>
      </c>
      <c r="E887" s="13" t="str">
        <f t="shared" si="73"/>
        <v>女</v>
      </c>
      <c r="F887" s="17">
        <f ca="1" t="shared" si="74"/>
        <v>86</v>
      </c>
      <c r="G887" s="13" t="s">
        <v>20</v>
      </c>
      <c r="H887" s="18">
        <v>190</v>
      </c>
      <c r="I887" s="13" t="s">
        <v>21</v>
      </c>
      <c r="J887" s="13" t="s">
        <v>973</v>
      </c>
      <c r="K887" s="13"/>
      <c r="L887" s="17"/>
      <c r="M887" s="13" t="s">
        <v>416</v>
      </c>
      <c r="N887" s="17"/>
      <c r="O887" s="13" t="s">
        <v>417</v>
      </c>
      <c r="P887" s="13">
        <v>1</v>
      </c>
    </row>
    <row r="888" spans="1:16">
      <c r="A888" s="10">
        <v>885</v>
      </c>
      <c r="B888" s="13" t="s">
        <v>1402</v>
      </c>
      <c r="C888" s="13" t="str">
        <f>"513021196002120973"</f>
        <v>513021196002120973</v>
      </c>
      <c r="D888" s="13" t="str">
        <f t="shared" si="70"/>
        <v>513021********0973</v>
      </c>
      <c r="E888" s="13" t="str">
        <f t="shared" si="73"/>
        <v>男</v>
      </c>
      <c r="F888" s="17">
        <f ca="1" t="shared" si="74"/>
        <v>64</v>
      </c>
      <c r="G888" s="13" t="s">
        <v>20</v>
      </c>
      <c r="H888" s="18">
        <v>190</v>
      </c>
      <c r="I888" s="13" t="s">
        <v>21</v>
      </c>
      <c r="J888" s="13" t="s">
        <v>973</v>
      </c>
      <c r="K888" s="13"/>
      <c r="L888" s="17"/>
      <c r="M888" s="13" t="s">
        <v>416</v>
      </c>
      <c r="N888" s="17"/>
      <c r="O888" s="13" t="s">
        <v>417</v>
      </c>
      <c r="P888" s="13">
        <v>1</v>
      </c>
    </row>
    <row r="889" spans="1:16">
      <c r="A889" s="10">
        <v>886</v>
      </c>
      <c r="B889" s="13" t="s">
        <v>1403</v>
      </c>
      <c r="C889" s="13" t="str">
        <f>"513021194707010978"</f>
        <v>513021194707010978</v>
      </c>
      <c r="D889" s="13" t="str">
        <f t="shared" si="70"/>
        <v>513021********0978</v>
      </c>
      <c r="E889" s="13" t="str">
        <f t="shared" si="73"/>
        <v>男</v>
      </c>
      <c r="F889" s="17">
        <f ca="1" t="shared" si="74"/>
        <v>77</v>
      </c>
      <c r="G889" s="13" t="s">
        <v>20</v>
      </c>
      <c r="H889" s="18">
        <v>190</v>
      </c>
      <c r="I889" s="13" t="s">
        <v>21</v>
      </c>
      <c r="J889" s="13" t="s">
        <v>973</v>
      </c>
      <c r="K889" s="13"/>
      <c r="L889" s="17"/>
      <c r="M889" s="13" t="s">
        <v>416</v>
      </c>
      <c r="N889" s="17"/>
      <c r="O889" s="13" t="s">
        <v>417</v>
      </c>
      <c r="P889" s="13">
        <v>1</v>
      </c>
    </row>
    <row r="890" spans="1:16">
      <c r="A890" s="10">
        <v>887</v>
      </c>
      <c r="B890" s="13" t="s">
        <v>1404</v>
      </c>
      <c r="C890" s="13" t="s">
        <v>1405</v>
      </c>
      <c r="D890" s="13" t="str">
        <f t="shared" si="70"/>
        <v>513021********044X</v>
      </c>
      <c r="E890" s="13" t="str">
        <f t="shared" si="73"/>
        <v>女</v>
      </c>
      <c r="F890" s="17">
        <f ca="1" t="shared" si="74"/>
        <v>87</v>
      </c>
      <c r="G890" s="13" t="s">
        <v>20</v>
      </c>
      <c r="H890" s="18">
        <v>240</v>
      </c>
      <c r="I890" s="13" t="s">
        <v>21</v>
      </c>
      <c r="J890" s="13" t="s">
        <v>973</v>
      </c>
      <c r="K890" s="13"/>
      <c r="L890" s="17"/>
      <c r="M890" s="13" t="s">
        <v>416</v>
      </c>
      <c r="N890" s="17"/>
      <c r="O890" s="13" t="s">
        <v>417</v>
      </c>
      <c r="P890" s="13">
        <v>1</v>
      </c>
    </row>
    <row r="891" spans="1:16">
      <c r="A891" s="10">
        <v>888</v>
      </c>
      <c r="B891" s="13" t="s">
        <v>1406</v>
      </c>
      <c r="C891" s="13" t="str">
        <f>"513021196303130454"</f>
        <v>513021196303130454</v>
      </c>
      <c r="D891" s="13" t="str">
        <f t="shared" si="70"/>
        <v>513021********0454</v>
      </c>
      <c r="E891" s="13" t="str">
        <f t="shared" si="73"/>
        <v>男</v>
      </c>
      <c r="F891" s="17">
        <f ca="1" t="shared" si="74"/>
        <v>61</v>
      </c>
      <c r="G891" s="13" t="s">
        <v>20</v>
      </c>
      <c r="H891" s="18">
        <v>240</v>
      </c>
      <c r="I891" s="13" t="s">
        <v>21</v>
      </c>
      <c r="J891" s="13" t="s">
        <v>973</v>
      </c>
      <c r="K891" s="13"/>
      <c r="L891" s="17"/>
      <c r="M891" s="13" t="s">
        <v>416</v>
      </c>
      <c r="N891" s="17"/>
      <c r="O891" s="13" t="s">
        <v>417</v>
      </c>
      <c r="P891" s="13">
        <v>1</v>
      </c>
    </row>
    <row r="892" spans="1:16">
      <c r="A892" s="10">
        <v>889</v>
      </c>
      <c r="B892" s="13" t="s">
        <v>1407</v>
      </c>
      <c r="C892" s="13" t="str">
        <f>"513021194712030447"</f>
        <v>513021194712030447</v>
      </c>
      <c r="D892" s="13" t="str">
        <f t="shared" si="70"/>
        <v>513021********0447</v>
      </c>
      <c r="E892" s="13" t="str">
        <f t="shared" si="73"/>
        <v>女</v>
      </c>
      <c r="F892" s="17">
        <f ca="1" t="shared" si="74"/>
        <v>77</v>
      </c>
      <c r="G892" s="13" t="s">
        <v>20</v>
      </c>
      <c r="H892" s="18">
        <v>380</v>
      </c>
      <c r="I892" s="13" t="s">
        <v>21</v>
      </c>
      <c r="J892" s="13" t="s">
        <v>973</v>
      </c>
      <c r="K892" s="13"/>
      <c r="L892" s="17"/>
      <c r="M892" s="13" t="s">
        <v>416</v>
      </c>
      <c r="N892" s="17" t="s">
        <v>34</v>
      </c>
      <c r="O892" s="13" t="s">
        <v>417</v>
      </c>
      <c r="P892" s="13">
        <v>1</v>
      </c>
    </row>
    <row r="893" spans="1:16">
      <c r="A893" s="10">
        <v>890</v>
      </c>
      <c r="B893" s="13" t="s">
        <v>1408</v>
      </c>
      <c r="C893" s="13" t="str">
        <f>"513021196511010983"</f>
        <v>513021196511010983</v>
      </c>
      <c r="D893" s="13" t="str">
        <f t="shared" si="70"/>
        <v>513021********0983</v>
      </c>
      <c r="E893" s="13" t="str">
        <f t="shared" si="73"/>
        <v>女</v>
      </c>
      <c r="F893" s="17">
        <f ca="1" t="shared" si="74"/>
        <v>59</v>
      </c>
      <c r="G893" s="13" t="s">
        <v>20</v>
      </c>
      <c r="H893" s="18">
        <v>240</v>
      </c>
      <c r="I893" s="13" t="s">
        <v>21</v>
      </c>
      <c r="J893" s="13" t="s">
        <v>973</v>
      </c>
      <c r="K893" s="13"/>
      <c r="L893" s="17"/>
      <c r="M893" s="13" t="s">
        <v>416</v>
      </c>
      <c r="N893" s="17"/>
      <c r="O893" s="13" t="s">
        <v>417</v>
      </c>
      <c r="P893" s="13">
        <v>1</v>
      </c>
    </row>
    <row r="894" spans="1:16">
      <c r="A894" s="10">
        <v>891</v>
      </c>
      <c r="B894" s="13" t="s">
        <v>1409</v>
      </c>
      <c r="C894" s="13" t="str">
        <f>"513021197903240977"</f>
        <v>513021197903240977</v>
      </c>
      <c r="D894" s="13" t="str">
        <f t="shared" si="70"/>
        <v>513021********0977</v>
      </c>
      <c r="E894" s="13" t="str">
        <f t="shared" si="73"/>
        <v>男</v>
      </c>
      <c r="F894" s="17">
        <f ca="1" t="shared" si="74"/>
        <v>45</v>
      </c>
      <c r="G894" s="13" t="s">
        <v>20</v>
      </c>
      <c r="H894" s="18">
        <v>380</v>
      </c>
      <c r="I894" s="13" t="s">
        <v>21</v>
      </c>
      <c r="J894" s="13" t="s">
        <v>973</v>
      </c>
      <c r="K894" s="13"/>
      <c r="L894" s="17" t="str">
        <f>VLOOKUP(C894,[1]Sheet1!$B$2:$U$630,20,0)</f>
        <v>肢体四级;</v>
      </c>
      <c r="M894" s="13" t="s">
        <v>416</v>
      </c>
      <c r="N894" s="17"/>
      <c r="O894" s="13" t="s">
        <v>417</v>
      </c>
      <c r="P894" s="13">
        <v>1</v>
      </c>
    </row>
    <row r="895" spans="1:16">
      <c r="A895" s="10">
        <v>892</v>
      </c>
      <c r="B895" s="13" t="s">
        <v>1410</v>
      </c>
      <c r="C895" s="13" t="str">
        <f>"513021196311160477"</f>
        <v>513021196311160477</v>
      </c>
      <c r="D895" s="13" t="str">
        <f t="shared" si="70"/>
        <v>513021********0477</v>
      </c>
      <c r="E895" s="13" t="str">
        <f t="shared" si="73"/>
        <v>男</v>
      </c>
      <c r="F895" s="17">
        <f ca="1" t="shared" si="74"/>
        <v>61</v>
      </c>
      <c r="G895" s="13" t="s">
        <v>20</v>
      </c>
      <c r="H895" s="18">
        <v>240</v>
      </c>
      <c r="I895" s="13" t="s">
        <v>21</v>
      </c>
      <c r="J895" s="13" t="s">
        <v>973</v>
      </c>
      <c r="K895" s="13"/>
      <c r="L895" s="17" t="str">
        <f>VLOOKUP(C895,[1]Sheet1!$B$2:$U$630,20,0)</f>
        <v>视力三级;</v>
      </c>
      <c r="M895" s="13" t="s">
        <v>416</v>
      </c>
      <c r="N895" s="17"/>
      <c r="O895" s="13" t="s">
        <v>417</v>
      </c>
      <c r="P895" s="13">
        <v>1</v>
      </c>
    </row>
    <row r="896" spans="1:16">
      <c r="A896" s="10">
        <v>893</v>
      </c>
      <c r="B896" s="13" t="s">
        <v>1411</v>
      </c>
      <c r="C896" s="13" t="str">
        <f>"513021195105110968"</f>
        <v>513021195105110968</v>
      </c>
      <c r="D896" s="13" t="str">
        <f t="shared" si="70"/>
        <v>513021********0968</v>
      </c>
      <c r="E896" s="13" t="str">
        <f t="shared" si="73"/>
        <v>女</v>
      </c>
      <c r="F896" s="17">
        <f ca="1" t="shared" si="74"/>
        <v>73</v>
      </c>
      <c r="G896" s="13" t="s">
        <v>20</v>
      </c>
      <c r="H896" s="18">
        <v>240</v>
      </c>
      <c r="I896" s="13" t="s">
        <v>21</v>
      </c>
      <c r="J896" s="13" t="s">
        <v>973</v>
      </c>
      <c r="K896" s="13"/>
      <c r="L896" s="17"/>
      <c r="M896" s="13" t="s">
        <v>416</v>
      </c>
      <c r="N896" s="17" t="s">
        <v>34</v>
      </c>
      <c r="O896" s="13" t="s">
        <v>417</v>
      </c>
      <c r="P896" s="13">
        <v>1</v>
      </c>
    </row>
    <row r="897" spans="1:16">
      <c r="A897" s="10">
        <v>894</v>
      </c>
      <c r="B897" s="13" t="s">
        <v>1412</v>
      </c>
      <c r="C897" s="13" t="str">
        <f>"513021195111070966"</f>
        <v>513021195111070966</v>
      </c>
      <c r="D897" s="13" t="str">
        <f t="shared" si="70"/>
        <v>513021********0966</v>
      </c>
      <c r="E897" s="13" t="str">
        <f t="shared" si="73"/>
        <v>女</v>
      </c>
      <c r="F897" s="17">
        <f ca="1" t="shared" si="74"/>
        <v>73</v>
      </c>
      <c r="G897" s="13" t="s">
        <v>20</v>
      </c>
      <c r="H897" s="18">
        <v>240</v>
      </c>
      <c r="I897" s="13" t="s">
        <v>21</v>
      </c>
      <c r="J897" s="13" t="s">
        <v>973</v>
      </c>
      <c r="K897" s="13"/>
      <c r="L897" s="17"/>
      <c r="M897" s="13" t="s">
        <v>416</v>
      </c>
      <c r="N897" s="17"/>
      <c r="O897" s="13" t="s">
        <v>417</v>
      </c>
      <c r="P897" s="13">
        <v>1</v>
      </c>
    </row>
    <row r="898" spans="1:16">
      <c r="A898" s="10">
        <v>895</v>
      </c>
      <c r="B898" s="13" t="s">
        <v>618</v>
      </c>
      <c r="C898" s="13" t="str">
        <f>"513021193908130445"</f>
        <v>513021193908130445</v>
      </c>
      <c r="D898" s="13" t="str">
        <f t="shared" si="70"/>
        <v>513021********0445</v>
      </c>
      <c r="E898" s="13" t="str">
        <f t="shared" si="73"/>
        <v>女</v>
      </c>
      <c r="F898" s="17">
        <f ca="1" t="shared" si="74"/>
        <v>85</v>
      </c>
      <c r="G898" s="13" t="s">
        <v>20</v>
      </c>
      <c r="H898" s="18">
        <v>190</v>
      </c>
      <c r="I898" s="13" t="s">
        <v>21</v>
      </c>
      <c r="J898" s="13" t="s">
        <v>973</v>
      </c>
      <c r="K898" s="13"/>
      <c r="L898" s="17"/>
      <c r="M898" s="13" t="s">
        <v>416</v>
      </c>
      <c r="N898" s="17" t="s">
        <v>34</v>
      </c>
      <c r="O898" s="13"/>
      <c r="P898" s="13">
        <v>3</v>
      </c>
    </row>
    <row r="899" ht="15.6" spans="1:16">
      <c r="A899" s="10">
        <v>896</v>
      </c>
      <c r="B899" s="34" t="s">
        <v>1413</v>
      </c>
      <c r="C899" s="34" t="s">
        <v>1414</v>
      </c>
      <c r="D899" s="13" t="str">
        <f t="shared" si="70"/>
        <v>513021********0458</v>
      </c>
      <c r="E899" s="13" t="str">
        <f t="shared" si="73"/>
        <v>男</v>
      </c>
      <c r="F899" s="17">
        <f ca="1" t="shared" si="74"/>
        <v>66</v>
      </c>
      <c r="G899" s="13" t="s">
        <v>434</v>
      </c>
      <c r="H899" s="20"/>
      <c r="I899" s="13" t="s">
        <v>21</v>
      </c>
      <c r="J899" s="13" t="s">
        <v>973</v>
      </c>
      <c r="K899" s="13"/>
      <c r="L899" s="17" t="str">
        <f>VLOOKUP(C899,[1]Sheet1!$B$2:$U$630,20,0)</f>
        <v>肢体四级;</v>
      </c>
      <c r="M899" s="13" t="s">
        <v>416</v>
      </c>
      <c r="N899" s="17" t="s">
        <v>34</v>
      </c>
      <c r="O899" s="13"/>
      <c r="P899" s="13"/>
    </row>
    <row r="900" ht="15.6" spans="1:16">
      <c r="A900" s="10">
        <v>897</v>
      </c>
      <c r="B900" s="34" t="s">
        <v>1415</v>
      </c>
      <c r="C900" s="34" t="s">
        <v>1416</v>
      </c>
      <c r="D900" s="13" t="str">
        <f t="shared" si="70"/>
        <v>513021********0472</v>
      </c>
      <c r="E900" s="13" t="str">
        <f t="shared" si="73"/>
        <v>男</v>
      </c>
      <c r="F900" s="17">
        <f ca="1" t="shared" si="74"/>
        <v>31</v>
      </c>
      <c r="G900" s="13" t="s">
        <v>440</v>
      </c>
      <c r="H900" s="20"/>
      <c r="I900" s="13" t="s">
        <v>21</v>
      </c>
      <c r="J900" s="13" t="s">
        <v>973</v>
      </c>
      <c r="K900" s="13"/>
      <c r="L900" s="17"/>
      <c r="M900" s="13" t="s">
        <v>416</v>
      </c>
      <c r="N900" s="17" t="s">
        <v>34</v>
      </c>
      <c r="O900" s="13"/>
      <c r="P900" s="13"/>
    </row>
    <row r="901" spans="1:16">
      <c r="A901" s="10">
        <v>898</v>
      </c>
      <c r="B901" s="13" t="s">
        <v>1417</v>
      </c>
      <c r="C901" s="13" t="str">
        <f>"513021195110250447"</f>
        <v>513021195110250447</v>
      </c>
      <c r="D901" s="13" t="str">
        <f t="shared" ref="D901:D906" si="75">REPLACE(C901,7,8,"********")</f>
        <v>513021********0447</v>
      </c>
      <c r="E901" s="13" t="str">
        <f t="shared" si="73"/>
        <v>女</v>
      </c>
      <c r="F901" s="17">
        <f ca="1" t="shared" si="74"/>
        <v>73</v>
      </c>
      <c r="G901" s="13" t="s">
        <v>20</v>
      </c>
      <c r="H901" s="18">
        <v>190</v>
      </c>
      <c r="I901" s="13" t="s">
        <v>21</v>
      </c>
      <c r="J901" s="13" t="s">
        <v>973</v>
      </c>
      <c r="K901" s="13"/>
      <c r="L901" s="17"/>
      <c r="M901" s="13" t="s">
        <v>416</v>
      </c>
      <c r="N901" s="17" t="s">
        <v>34</v>
      </c>
      <c r="O901" s="13" t="s">
        <v>417</v>
      </c>
      <c r="P901" s="13">
        <v>1</v>
      </c>
    </row>
    <row r="902" spans="1:16">
      <c r="A902" s="10">
        <v>899</v>
      </c>
      <c r="B902" s="13" t="s">
        <v>1418</v>
      </c>
      <c r="C902" s="13" t="str">
        <f>"513021195201100962"</f>
        <v>513021195201100962</v>
      </c>
      <c r="D902" s="13" t="str">
        <f t="shared" si="75"/>
        <v>513021********0962</v>
      </c>
      <c r="E902" s="13" t="str">
        <f t="shared" si="73"/>
        <v>女</v>
      </c>
      <c r="F902" s="17">
        <f ca="1" t="shared" si="74"/>
        <v>72</v>
      </c>
      <c r="G902" s="13" t="s">
        <v>20</v>
      </c>
      <c r="H902" s="18">
        <v>220</v>
      </c>
      <c r="I902" s="13" t="s">
        <v>21</v>
      </c>
      <c r="J902" s="13" t="s">
        <v>973</v>
      </c>
      <c r="K902" s="13"/>
      <c r="L902" s="17" t="str">
        <f>VLOOKUP(C902,[1]Sheet1!$B$2:$U$630,20,0)</f>
        <v>肢体二级;</v>
      </c>
      <c r="M902" s="13" t="s">
        <v>416</v>
      </c>
      <c r="N902" s="17" t="s">
        <v>34</v>
      </c>
      <c r="O902" s="13"/>
      <c r="P902" s="13">
        <v>3</v>
      </c>
    </row>
    <row r="903" ht="15.6" spans="1:16">
      <c r="A903" s="10">
        <v>900</v>
      </c>
      <c r="B903" s="34" t="s">
        <v>1419</v>
      </c>
      <c r="C903" s="34" t="s">
        <v>1420</v>
      </c>
      <c r="D903" s="13" t="str">
        <f t="shared" si="75"/>
        <v>513021********0966</v>
      </c>
      <c r="E903" s="13" t="str">
        <f t="shared" si="73"/>
        <v>女</v>
      </c>
      <c r="F903" s="17">
        <f ca="1" t="shared" si="74"/>
        <v>51</v>
      </c>
      <c r="G903" s="13" t="s">
        <v>475</v>
      </c>
      <c r="H903" s="20"/>
      <c r="I903" s="13" t="s">
        <v>21</v>
      </c>
      <c r="J903" s="13" t="s">
        <v>973</v>
      </c>
      <c r="K903" s="13"/>
      <c r="L903" s="17"/>
      <c r="M903" s="13" t="s">
        <v>416</v>
      </c>
      <c r="N903" s="17" t="s">
        <v>34</v>
      </c>
      <c r="O903" s="13"/>
      <c r="P903" s="13"/>
    </row>
    <row r="904" ht="15.6" spans="1:16">
      <c r="A904" s="10">
        <v>901</v>
      </c>
      <c r="B904" s="34" t="s">
        <v>1421</v>
      </c>
      <c r="C904" s="34" t="s">
        <v>1422</v>
      </c>
      <c r="D904" s="13" t="str">
        <f t="shared" si="75"/>
        <v>513021********3040</v>
      </c>
      <c r="E904" s="13" t="str">
        <f t="shared" si="73"/>
        <v>女</v>
      </c>
      <c r="F904" s="17">
        <f ca="1" t="shared" si="74"/>
        <v>26</v>
      </c>
      <c r="G904" s="13" t="s">
        <v>440</v>
      </c>
      <c r="H904" s="20"/>
      <c r="I904" s="13" t="s">
        <v>21</v>
      </c>
      <c r="J904" s="13" t="s">
        <v>973</v>
      </c>
      <c r="K904" s="13"/>
      <c r="L904" s="17"/>
      <c r="M904" s="13" t="s">
        <v>416</v>
      </c>
      <c r="N904" s="17" t="s">
        <v>34</v>
      </c>
      <c r="O904" s="13"/>
      <c r="P904" s="13"/>
    </row>
    <row r="905" spans="1:16">
      <c r="A905" s="10">
        <v>902</v>
      </c>
      <c r="B905" s="13" t="s">
        <v>1423</v>
      </c>
      <c r="C905" s="13" t="str">
        <f>"513021194508291359"</f>
        <v>513021194508291359</v>
      </c>
      <c r="D905" s="13" t="str">
        <f t="shared" si="75"/>
        <v>513021********1359</v>
      </c>
      <c r="E905" s="13" t="str">
        <f t="shared" si="73"/>
        <v>男</v>
      </c>
      <c r="F905" s="17">
        <f ca="1" t="shared" si="74"/>
        <v>79</v>
      </c>
      <c r="G905" s="13" t="s">
        <v>20</v>
      </c>
      <c r="H905" s="18">
        <v>380</v>
      </c>
      <c r="I905" s="13" t="s">
        <v>21</v>
      </c>
      <c r="J905" s="13" t="s">
        <v>973</v>
      </c>
      <c r="K905" s="13"/>
      <c r="L905" s="17"/>
      <c r="M905" s="13" t="s">
        <v>416</v>
      </c>
      <c r="N905" s="17"/>
      <c r="O905" s="13" t="s">
        <v>417</v>
      </c>
      <c r="P905" s="13">
        <v>1</v>
      </c>
    </row>
    <row r="906" spans="1:16">
      <c r="A906" s="10">
        <v>903</v>
      </c>
      <c r="B906" s="13" t="s">
        <v>556</v>
      </c>
      <c r="C906" s="13" t="s">
        <v>1424</v>
      </c>
      <c r="D906" s="13" t="str">
        <f t="shared" si="75"/>
        <v>513021********096X</v>
      </c>
      <c r="E906" s="13" t="str">
        <f t="shared" si="73"/>
        <v>女</v>
      </c>
      <c r="F906" s="17">
        <f ca="1" t="shared" si="74"/>
        <v>67</v>
      </c>
      <c r="G906" s="13" t="s">
        <v>20</v>
      </c>
      <c r="H906" s="18">
        <v>240</v>
      </c>
      <c r="I906" s="13" t="s">
        <v>21</v>
      </c>
      <c r="J906" s="13" t="s">
        <v>973</v>
      </c>
      <c r="K906" s="13"/>
      <c r="L906" s="17"/>
      <c r="M906" s="13" t="s">
        <v>416</v>
      </c>
      <c r="N906" s="17"/>
      <c r="O906" s="13" t="s">
        <v>417</v>
      </c>
      <c r="P906" s="13">
        <v>1</v>
      </c>
    </row>
  </sheetData>
  <autoFilter ref="B3:P906">
    <extLst/>
  </autoFilter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傲寒</cp:lastModifiedBy>
  <dcterms:created xsi:type="dcterms:W3CDTF">2021-09-26T03:30:00Z</dcterms:created>
  <dcterms:modified xsi:type="dcterms:W3CDTF">2024-02-22T02:06:48Z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6B5F655AA4EA40AA9E047141F02A738E_13</vt:lpwstr>
  </property>
  <property fmtid="{D5CDD505-2E9C-101B-9397-08002B2CF9AE}" pid="3" name="KSOProductBuildVer">
    <vt:lpwstr>2052-12.1.0.16250</vt:lpwstr>
  </property>
</Properties>
</file>